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lburklew\"/>
    </mc:Choice>
  </mc:AlternateContent>
  <xr:revisionPtr revIDLastSave="0" documentId="8_{8AA1523A-FD6B-4737-9C34-49D4005B2A32}" xr6:coauthVersionLast="47" xr6:coauthVersionMax="47" xr10:uidLastSave="{00000000-0000-0000-0000-000000000000}"/>
  <bookViews>
    <workbookView xWindow="3900" yWindow="3900" windowWidth="21600" windowHeight="12735" xr2:uid="{B29D34A2-D37C-4FB3-B4F7-D702D117A32C}"/>
  </bookViews>
  <sheets>
    <sheet name="First_Scenario" sheetId="1" r:id="rId1"/>
    <sheet name="Second_Scenario_1" sheetId="3" r:id="rId2"/>
    <sheet name="Second_Scenario_2" sheetId="4" r:id="rId3"/>
  </sheets>
  <definedNames>
    <definedName name="_xlnm._FilterDatabase" localSheetId="1" hidden="1">Second_Scenario_1!$A$2:$L$126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3" l="1"/>
  <c r="J57" i="3" s="1"/>
  <c r="F76" i="3"/>
  <c r="F77" i="3"/>
  <c r="F25" i="3"/>
  <c r="F20" i="3" s="1"/>
  <c r="H57" i="3"/>
  <c r="L105" i="3"/>
  <c r="L57" i="3"/>
  <c r="L49" i="3"/>
  <c r="L48" i="3"/>
  <c r="L39" i="3"/>
  <c r="L32" i="3"/>
  <c r="H32" i="3"/>
  <c r="I32" i="3" s="1"/>
  <c r="J32" i="3" s="1"/>
  <c r="H78" i="3"/>
  <c r="F78" i="3"/>
  <c r="F80" i="3"/>
  <c r="F64" i="3"/>
  <c r="F41" i="3"/>
  <c r="H64" i="3" l="1"/>
  <c r="H28" i="3" l="1"/>
  <c r="H77" i="3" l="1"/>
  <c r="H80" i="3"/>
  <c r="H68" i="3"/>
  <c r="E33" i="3"/>
  <c r="C25" i="4" s="1"/>
  <c r="D33" i="3"/>
  <c r="G32" i="3"/>
  <c r="H105" i="3"/>
  <c r="H53" i="3"/>
  <c r="D54" i="3"/>
  <c r="H49" i="3"/>
  <c r="C84" i="4"/>
  <c r="C56" i="4"/>
  <c r="H48" i="3"/>
  <c r="H39" i="3"/>
  <c r="G53" i="3"/>
  <c r="L53" i="3" s="1"/>
  <c r="D34" i="1"/>
  <c r="D17" i="1"/>
  <c r="D19" i="1" s="1"/>
  <c r="D18" i="1"/>
  <c r="E54" i="3" l="1"/>
  <c r="C34" i="4" s="1"/>
  <c r="E17" i="1"/>
  <c r="C18" i="1"/>
  <c r="C17" i="1"/>
  <c r="E16" i="1"/>
  <c r="E15" i="1"/>
  <c r="E14" i="1"/>
  <c r="E13" i="1"/>
  <c r="E12" i="1"/>
  <c r="E11" i="1"/>
  <c r="E8" i="1"/>
  <c r="E7" i="1"/>
  <c r="E6" i="1"/>
  <c r="E18" i="1" s="1"/>
  <c r="E33" i="1"/>
  <c r="E32" i="1"/>
  <c r="E31" i="1"/>
  <c r="E29" i="1"/>
  <c r="E28" i="1"/>
  <c r="E5" i="1"/>
  <c r="H87" i="3" l="1"/>
  <c r="E70" i="4"/>
  <c r="G87" i="3"/>
  <c r="L87" i="3" s="1"/>
  <c r="G69" i="3"/>
  <c r="L69" i="3" s="1"/>
  <c r="D69" i="4"/>
  <c r="C36" i="4"/>
  <c r="C27" i="4"/>
  <c r="C15" i="4"/>
  <c r="D14" i="4"/>
  <c r="G122" i="3"/>
  <c r="E122" i="3"/>
  <c r="C80" i="4" s="1"/>
  <c r="C82" i="4" s="1"/>
  <c r="D122" i="3"/>
  <c r="H121" i="3"/>
  <c r="I121" i="3" s="1"/>
  <c r="J121" i="3" s="1"/>
  <c r="G121" i="3"/>
  <c r="L121" i="3" s="1"/>
  <c r="H120" i="3"/>
  <c r="I120" i="3" s="1"/>
  <c r="J120" i="3" s="1"/>
  <c r="G120" i="3"/>
  <c r="L120" i="3" s="1"/>
  <c r="G119" i="3"/>
  <c r="L119" i="3" s="1"/>
  <c r="G118" i="3"/>
  <c r="E118" i="3"/>
  <c r="C77" i="4" s="1"/>
  <c r="C79" i="4" s="1"/>
  <c r="D118" i="3"/>
  <c r="H117" i="3"/>
  <c r="I117" i="3" s="1"/>
  <c r="J117" i="3" s="1"/>
  <c r="G117" i="3"/>
  <c r="L117" i="3" s="1"/>
  <c r="G116" i="3"/>
  <c r="L116" i="3" s="1"/>
  <c r="H115" i="3"/>
  <c r="I115" i="3" s="1"/>
  <c r="J115" i="3" s="1"/>
  <c r="G115" i="3"/>
  <c r="L115" i="3" s="1"/>
  <c r="G114" i="3"/>
  <c r="G113" i="3"/>
  <c r="E113" i="3"/>
  <c r="C74" i="4" s="1"/>
  <c r="C76" i="4" s="1"/>
  <c r="D113" i="3"/>
  <c r="H112" i="3"/>
  <c r="I112" i="3" s="1"/>
  <c r="J112" i="3" s="1"/>
  <c r="G112" i="3"/>
  <c r="L112" i="3" s="1"/>
  <c r="H111" i="3"/>
  <c r="I111" i="3" s="1"/>
  <c r="J111" i="3" s="1"/>
  <c r="G111" i="3"/>
  <c r="L111" i="3" s="1"/>
  <c r="H110" i="3"/>
  <c r="I110" i="3" s="1"/>
  <c r="J110" i="3" s="1"/>
  <c r="G110" i="3"/>
  <c r="L110" i="3" s="1"/>
  <c r="H109" i="3"/>
  <c r="G109" i="3"/>
  <c r="L109" i="3" s="1"/>
  <c r="G108" i="3"/>
  <c r="E108" i="3"/>
  <c r="C71" i="4" s="1"/>
  <c r="C73" i="4" s="1"/>
  <c r="D108" i="3"/>
  <c r="H107" i="3"/>
  <c r="H108" i="3" s="1"/>
  <c r="G107" i="3"/>
  <c r="L107" i="3" s="1"/>
  <c r="G106" i="3"/>
  <c r="E106" i="3"/>
  <c r="C68" i="4" s="1"/>
  <c r="C70" i="4" s="1"/>
  <c r="D106" i="3"/>
  <c r="G105" i="3"/>
  <c r="H106" i="3" s="1"/>
  <c r="G104" i="3"/>
  <c r="E104" i="3"/>
  <c r="C65" i="4" s="1"/>
  <c r="D104" i="3"/>
  <c r="H103" i="3"/>
  <c r="G103" i="3"/>
  <c r="L103" i="3" s="1"/>
  <c r="G102" i="3"/>
  <c r="L102" i="3" s="1"/>
  <c r="G101" i="3"/>
  <c r="G100" i="3"/>
  <c r="L100" i="3" s="1"/>
  <c r="E88" i="3"/>
  <c r="C52" i="4" s="1"/>
  <c r="C54" i="4" s="1"/>
  <c r="D88" i="3"/>
  <c r="E86" i="3"/>
  <c r="C49" i="4" s="1"/>
  <c r="C51" i="4" s="1"/>
  <c r="D86" i="3"/>
  <c r="H83" i="3"/>
  <c r="I83" i="3" s="1"/>
  <c r="J83" i="3" s="1"/>
  <c r="H82" i="3"/>
  <c r="I82" i="3" s="1"/>
  <c r="J82" i="3" s="1"/>
  <c r="E81" i="3"/>
  <c r="C46" i="4" s="1"/>
  <c r="C48" i="4" s="1"/>
  <c r="D81" i="3"/>
  <c r="H79" i="3"/>
  <c r="I79" i="3" s="1"/>
  <c r="J79" i="3" s="1"/>
  <c r="I78" i="3"/>
  <c r="J78" i="3" s="1"/>
  <c r="H75" i="3"/>
  <c r="I75" i="3" s="1"/>
  <c r="J75" i="3" s="1"/>
  <c r="E73" i="3"/>
  <c r="C43" i="4" s="1"/>
  <c r="C45" i="4" s="1"/>
  <c r="D73" i="3"/>
  <c r="H72" i="3"/>
  <c r="I72" i="3" s="1"/>
  <c r="J72" i="3" s="1"/>
  <c r="H71" i="3"/>
  <c r="I71" i="3" s="1"/>
  <c r="J71" i="3" s="1"/>
  <c r="H70" i="3"/>
  <c r="I70" i="3" s="1"/>
  <c r="J70" i="3" s="1"/>
  <c r="H69" i="3"/>
  <c r="I69" i="3" s="1"/>
  <c r="J69" i="3" s="1"/>
  <c r="H67" i="3"/>
  <c r="I67" i="3" s="1"/>
  <c r="J67" i="3" s="1"/>
  <c r="H66" i="3"/>
  <c r="I66" i="3" s="1"/>
  <c r="J66" i="3" s="1"/>
  <c r="E65" i="3"/>
  <c r="C40" i="4" s="1"/>
  <c r="C42" i="4" s="1"/>
  <c r="D65" i="3"/>
  <c r="I64" i="3"/>
  <c r="J64" i="3" s="1"/>
  <c r="H62" i="3"/>
  <c r="I62" i="3" s="1"/>
  <c r="J62" i="3" s="1"/>
  <c r="H61" i="3"/>
  <c r="I61" i="3" s="1"/>
  <c r="J61" i="3" s="1"/>
  <c r="E59" i="3"/>
  <c r="C37" i="4" s="1"/>
  <c r="C39" i="4" s="1"/>
  <c r="D59" i="3"/>
  <c r="H56" i="3"/>
  <c r="I56" i="3" s="1"/>
  <c r="J56" i="3" s="1"/>
  <c r="H52" i="3"/>
  <c r="E51" i="3"/>
  <c r="C31" i="4" s="1"/>
  <c r="C33" i="4" s="1"/>
  <c r="D51" i="3"/>
  <c r="H47" i="3"/>
  <c r="I47" i="3" s="1"/>
  <c r="J47" i="3" s="1"/>
  <c r="H45" i="3"/>
  <c r="I45" i="3" s="1"/>
  <c r="J45" i="3" s="1"/>
  <c r="H44" i="3"/>
  <c r="I44" i="3" s="1"/>
  <c r="J44" i="3" s="1"/>
  <c r="E42" i="3"/>
  <c r="C28" i="4" s="1"/>
  <c r="C55" i="4" s="1"/>
  <c r="D42" i="3"/>
  <c r="H40" i="3"/>
  <c r="I40" i="3" s="1"/>
  <c r="J40" i="3" s="1"/>
  <c r="H37" i="3"/>
  <c r="I37" i="3" s="1"/>
  <c r="J37" i="3" s="1"/>
  <c r="H36" i="3"/>
  <c r="I36" i="3" s="1"/>
  <c r="J36" i="3" s="1"/>
  <c r="H34" i="3"/>
  <c r="I34" i="3" s="1"/>
  <c r="J34" i="3" s="1"/>
  <c r="E29" i="3"/>
  <c r="C22" i="4" s="1"/>
  <c r="C24" i="4" s="1"/>
  <c r="D29" i="3"/>
  <c r="H26" i="3"/>
  <c r="I26" i="3" s="1"/>
  <c r="J26" i="3" s="1"/>
  <c r="H25" i="3"/>
  <c r="I25" i="3" s="1"/>
  <c r="J25" i="3" s="1"/>
  <c r="E24" i="3"/>
  <c r="C19" i="4" s="1"/>
  <c r="C21" i="4" s="1"/>
  <c r="D24" i="3"/>
  <c r="H22" i="3"/>
  <c r="I22" i="3" s="1"/>
  <c r="E21" i="3"/>
  <c r="C16" i="4" s="1"/>
  <c r="C18" i="4" s="1"/>
  <c r="D21" i="3"/>
  <c r="H20" i="3"/>
  <c r="H21" i="3" s="1"/>
  <c r="E19" i="3"/>
  <c r="C10" i="4" s="1"/>
  <c r="C12" i="4" s="1"/>
  <c r="D19" i="3"/>
  <c r="H18" i="3"/>
  <c r="I18" i="3" s="1"/>
  <c r="J18" i="3" s="1"/>
  <c r="E16" i="3"/>
  <c r="C7" i="4" s="1"/>
  <c r="C9" i="4" s="1"/>
  <c r="D16" i="3"/>
  <c r="H15" i="3"/>
  <c r="I15" i="3" s="1"/>
  <c r="J15" i="3" s="1"/>
  <c r="H14" i="3"/>
  <c r="I14" i="3" s="1"/>
  <c r="J14" i="3" s="1"/>
  <c r="H13" i="3"/>
  <c r="I13" i="3" s="1"/>
  <c r="J13" i="3" s="1"/>
  <c r="H12" i="3"/>
  <c r="I12" i="3" s="1"/>
  <c r="J12" i="3" s="1"/>
  <c r="H11" i="3"/>
  <c r="I11" i="3" s="1"/>
  <c r="J11" i="3" s="1"/>
  <c r="E10" i="3"/>
  <c r="C4" i="4" s="1"/>
  <c r="C6" i="4" s="1"/>
  <c r="D10" i="3"/>
  <c r="H9" i="3"/>
  <c r="I9" i="3" s="1"/>
  <c r="J9" i="3" s="1"/>
  <c r="H8" i="3"/>
  <c r="I8" i="3" s="1"/>
  <c r="J8" i="3" s="1"/>
  <c r="H6" i="3"/>
  <c r="I6" i="3" s="1"/>
  <c r="J6" i="3" s="1"/>
  <c r="H5" i="3"/>
  <c r="I5" i="3" s="1"/>
  <c r="J5" i="3" s="1"/>
  <c r="H114" i="3" l="1"/>
  <c r="L114" i="3"/>
  <c r="H101" i="3"/>
  <c r="I101" i="3" s="1"/>
  <c r="J101" i="3" s="1"/>
  <c r="L101" i="3"/>
  <c r="C83" i="4"/>
  <c r="C85" i="4" s="1"/>
  <c r="C67" i="4"/>
  <c r="C30" i="4"/>
  <c r="D70" i="4"/>
  <c r="I52" i="3"/>
  <c r="J52" i="3" s="1"/>
  <c r="H54" i="3"/>
  <c r="I54" i="3" s="1"/>
  <c r="H113" i="3"/>
  <c r="I113" i="3" s="1"/>
  <c r="H102" i="3"/>
  <c r="I102" i="3" s="1"/>
  <c r="J102" i="3" s="1"/>
  <c r="G15" i="3"/>
  <c r="L15" i="3" s="1"/>
  <c r="G52" i="3"/>
  <c r="L52" i="3" s="1"/>
  <c r="G83" i="3"/>
  <c r="L83" i="3" s="1"/>
  <c r="E123" i="3"/>
  <c r="I21" i="3"/>
  <c r="J21" i="3" s="1"/>
  <c r="D123" i="3"/>
  <c r="E16" i="4"/>
  <c r="D16" i="4" s="1"/>
  <c r="D17" i="4" s="1"/>
  <c r="E17" i="4" s="1"/>
  <c r="E18" i="4" s="1"/>
  <c r="D18" i="4" s="1"/>
  <c r="G11" i="3"/>
  <c r="L11" i="3" s="1"/>
  <c r="G22" i="3"/>
  <c r="L22" i="3" s="1"/>
  <c r="G23" i="3"/>
  <c r="L23" i="3" s="1"/>
  <c r="G30" i="3"/>
  <c r="L30" i="3" s="1"/>
  <c r="G31" i="3"/>
  <c r="I20" i="3"/>
  <c r="J20" i="3" s="1"/>
  <c r="G58" i="3"/>
  <c r="L58" i="3" s="1"/>
  <c r="E89" i="3"/>
  <c r="D89" i="3"/>
  <c r="G82" i="3"/>
  <c r="L82" i="3" s="1"/>
  <c r="I108" i="3"/>
  <c r="H16" i="3"/>
  <c r="I16" i="3" s="1"/>
  <c r="G55" i="3"/>
  <c r="G56" i="3"/>
  <c r="L56" i="3" s="1"/>
  <c r="G57" i="3"/>
  <c r="G12" i="3"/>
  <c r="L12" i="3" s="1"/>
  <c r="G84" i="3"/>
  <c r="L84" i="3" s="1"/>
  <c r="G13" i="3"/>
  <c r="L13" i="3" s="1"/>
  <c r="G85" i="3"/>
  <c r="L85" i="3" s="1"/>
  <c r="G14" i="3"/>
  <c r="L14" i="3" s="1"/>
  <c r="G47" i="3"/>
  <c r="L47" i="3" s="1"/>
  <c r="G76" i="3"/>
  <c r="L76" i="3" s="1"/>
  <c r="G63" i="3"/>
  <c r="L63" i="3" s="1"/>
  <c r="G9" i="3"/>
  <c r="L9" i="3" s="1"/>
  <c r="G26" i="3"/>
  <c r="L26" i="3" s="1"/>
  <c r="G34" i="3"/>
  <c r="L34" i="3" s="1"/>
  <c r="G41" i="3"/>
  <c r="G64" i="3"/>
  <c r="L64" i="3" s="1"/>
  <c r="G77" i="3"/>
  <c r="L77" i="3" s="1"/>
  <c r="G70" i="3"/>
  <c r="L70" i="3" s="1"/>
  <c r="G35" i="3"/>
  <c r="L35" i="3" s="1"/>
  <c r="G48" i="3"/>
  <c r="G71" i="3"/>
  <c r="L71" i="3" s="1"/>
  <c r="G27" i="3"/>
  <c r="L27" i="3" s="1"/>
  <c r="G36" i="3"/>
  <c r="L36" i="3" s="1"/>
  <c r="G43" i="3"/>
  <c r="L43" i="3" s="1"/>
  <c r="G49" i="3"/>
  <c r="G20" i="3"/>
  <c r="L20" i="3" s="1"/>
  <c r="G50" i="3"/>
  <c r="L50" i="3" s="1"/>
  <c r="G78" i="3"/>
  <c r="L78" i="3" s="1"/>
  <c r="G17" i="3"/>
  <c r="L17" i="3" s="1"/>
  <c r="G37" i="3"/>
  <c r="L37" i="3" s="1"/>
  <c r="G44" i="3"/>
  <c r="L44" i="3" s="1"/>
  <c r="G72" i="3"/>
  <c r="L72" i="3" s="1"/>
  <c r="G5" i="3"/>
  <c r="L5" i="3" s="1"/>
  <c r="G28" i="3"/>
  <c r="L28" i="3" s="1"/>
  <c r="G60" i="3"/>
  <c r="L60" i="3" s="1"/>
  <c r="G66" i="3"/>
  <c r="L66" i="3" s="1"/>
  <c r="G8" i="3"/>
  <c r="L8" i="3" s="1"/>
  <c r="G79" i="3"/>
  <c r="L79" i="3" s="1"/>
  <c r="G18" i="3"/>
  <c r="L18" i="3" s="1"/>
  <c r="G38" i="3"/>
  <c r="L38" i="3" s="1"/>
  <c r="G45" i="3"/>
  <c r="L45" i="3" s="1"/>
  <c r="G67" i="3"/>
  <c r="L67" i="3" s="1"/>
  <c r="G6" i="3"/>
  <c r="L6" i="3" s="1"/>
  <c r="G61" i="3"/>
  <c r="L61" i="3" s="1"/>
  <c r="G68" i="3"/>
  <c r="L68" i="3" s="1"/>
  <c r="G74" i="3"/>
  <c r="L74" i="3" s="1"/>
  <c r="G7" i="3"/>
  <c r="L7" i="3" s="1"/>
  <c r="G39" i="3"/>
  <c r="G46" i="3"/>
  <c r="L46" i="3" s="1"/>
  <c r="G75" i="3"/>
  <c r="L75" i="3" s="1"/>
  <c r="G80" i="3"/>
  <c r="L80" i="3" s="1"/>
  <c r="G25" i="3"/>
  <c r="L25" i="3" s="1"/>
  <c r="G40" i="3"/>
  <c r="L40" i="3" s="1"/>
  <c r="G62" i="3"/>
  <c r="L62" i="3" s="1"/>
  <c r="C57" i="4"/>
  <c r="I114" i="3"/>
  <c r="J114" i="3" s="1"/>
  <c r="H100" i="3"/>
  <c r="I109" i="3"/>
  <c r="J109" i="3" s="1"/>
  <c r="H116" i="3"/>
  <c r="I116" i="3" s="1"/>
  <c r="J116" i="3" s="1"/>
  <c r="H119" i="3"/>
  <c r="I107" i="3"/>
  <c r="J107" i="3" s="1"/>
  <c r="H55" i="3" l="1"/>
  <c r="L55" i="3"/>
  <c r="H31" i="3"/>
  <c r="I31" i="3" s="1"/>
  <c r="J31" i="3" s="1"/>
  <c r="L31" i="3"/>
  <c r="H41" i="3"/>
  <c r="I41" i="3" s="1"/>
  <c r="J41" i="3" s="1"/>
  <c r="L41" i="3"/>
  <c r="H38" i="3"/>
  <c r="I38" i="3" s="1"/>
  <c r="J38" i="3" s="1"/>
  <c r="H35" i="3"/>
  <c r="I35" i="3" s="1"/>
  <c r="J35" i="3" s="1"/>
  <c r="H118" i="3"/>
  <c r="I118" i="3" s="1"/>
  <c r="E77" i="4" s="1"/>
  <c r="H74" i="3"/>
  <c r="J113" i="3"/>
  <c r="E74" i="4"/>
  <c r="D74" i="4" s="1"/>
  <c r="D75" i="4" s="1"/>
  <c r="E75" i="4" s="1"/>
  <c r="J16" i="3"/>
  <c r="E7" i="4"/>
  <c r="J118" i="3"/>
  <c r="J54" i="3"/>
  <c r="E34" i="4"/>
  <c r="J108" i="3"/>
  <c r="E71" i="4"/>
  <c r="H46" i="3"/>
  <c r="I46" i="3" s="1"/>
  <c r="J46" i="3" s="1"/>
  <c r="H30" i="3"/>
  <c r="H33" i="3" s="1"/>
  <c r="H7" i="3"/>
  <c r="H60" i="3"/>
  <c r="H43" i="3"/>
  <c r="I43" i="3" s="1"/>
  <c r="J43" i="3" s="1"/>
  <c r="H58" i="3"/>
  <c r="I58" i="3" s="1"/>
  <c r="J58" i="3" s="1"/>
  <c r="H23" i="3"/>
  <c r="H27" i="3"/>
  <c r="H63" i="3"/>
  <c r="I63" i="3" s="1"/>
  <c r="J63" i="3" s="1"/>
  <c r="H84" i="3"/>
  <c r="I80" i="3"/>
  <c r="J80" i="3" s="1"/>
  <c r="H50" i="3"/>
  <c r="I50" i="3" s="1"/>
  <c r="J50" i="3" s="1"/>
  <c r="I77" i="3"/>
  <c r="J77" i="3" s="1"/>
  <c r="H17" i="3"/>
  <c r="H76" i="3"/>
  <c r="I76" i="3" s="1"/>
  <c r="J76" i="3" s="1"/>
  <c r="H85" i="3"/>
  <c r="I85" i="3" s="1"/>
  <c r="J85" i="3" s="1"/>
  <c r="H122" i="3"/>
  <c r="I122" i="3" s="1"/>
  <c r="I119" i="3"/>
  <c r="J119" i="3" s="1"/>
  <c r="H88" i="3"/>
  <c r="I88" i="3" s="1"/>
  <c r="I87" i="3"/>
  <c r="J87" i="3" s="1"/>
  <c r="I55" i="3"/>
  <c r="J55" i="3" s="1"/>
  <c r="H104" i="3"/>
  <c r="I100" i="3"/>
  <c r="J100" i="3" s="1"/>
  <c r="I74" i="3"/>
  <c r="J74" i="3" s="1"/>
  <c r="H42" i="3" l="1"/>
  <c r="I42" i="3" s="1"/>
  <c r="J42" i="3" s="1"/>
  <c r="E76" i="4"/>
  <c r="D76" i="4" s="1"/>
  <c r="H81" i="3"/>
  <c r="I81" i="3" s="1"/>
  <c r="D77" i="4"/>
  <c r="D78" i="4" s="1"/>
  <c r="E78" i="4" s="1"/>
  <c r="E79" i="4" s="1"/>
  <c r="D79" i="4" s="1"/>
  <c r="D7" i="4"/>
  <c r="D8" i="4" s="1"/>
  <c r="E8" i="4" s="1"/>
  <c r="E9" i="4" s="1"/>
  <c r="D9" i="4" s="1"/>
  <c r="D71" i="4"/>
  <c r="D72" i="4" s="1"/>
  <c r="E72" i="4" s="1"/>
  <c r="E73" i="4" s="1"/>
  <c r="D73" i="4" s="1"/>
  <c r="D34" i="4"/>
  <c r="D35" i="4" s="1"/>
  <c r="E35" i="4" s="1"/>
  <c r="E36" i="4" s="1"/>
  <c r="D36" i="4" s="1"/>
  <c r="J88" i="3"/>
  <c r="E52" i="4"/>
  <c r="J122" i="3"/>
  <c r="E80" i="4"/>
  <c r="D80" i="4" s="1"/>
  <c r="D81" i="4" s="1"/>
  <c r="E81" i="4" s="1"/>
  <c r="E82" i="4" s="1"/>
  <c r="D82" i="4" s="1"/>
  <c r="I23" i="3"/>
  <c r="J23" i="3" s="1"/>
  <c r="H24" i="3"/>
  <c r="I24" i="3" s="1"/>
  <c r="I30" i="3"/>
  <c r="J30" i="3" s="1"/>
  <c r="I33" i="3"/>
  <c r="I68" i="3"/>
  <c r="J68" i="3" s="1"/>
  <c r="H73" i="3"/>
  <c r="I73" i="3" s="1"/>
  <c r="I27" i="3"/>
  <c r="J27" i="3" s="1"/>
  <c r="H29" i="3"/>
  <c r="I29" i="3" s="1"/>
  <c r="H59" i="3"/>
  <c r="I59" i="3" s="1"/>
  <c r="H51" i="3"/>
  <c r="I51" i="3" s="1"/>
  <c r="I60" i="3"/>
  <c r="J60" i="3" s="1"/>
  <c r="H65" i="3"/>
  <c r="I65" i="3" s="1"/>
  <c r="I84" i="3"/>
  <c r="J84" i="3" s="1"/>
  <c r="H86" i="3"/>
  <c r="I86" i="3" s="1"/>
  <c r="I7" i="3"/>
  <c r="J7" i="3" s="1"/>
  <c r="H10" i="3"/>
  <c r="I10" i="3" s="1"/>
  <c r="I17" i="3"/>
  <c r="J17" i="3" s="1"/>
  <c r="H19" i="3"/>
  <c r="I19" i="3" s="1"/>
  <c r="H123" i="3"/>
  <c r="I123" i="3" s="1"/>
  <c r="J123" i="3" s="1"/>
  <c r="I104" i="3"/>
  <c r="E28" i="4" l="1"/>
  <c r="D28" i="4" s="1"/>
  <c r="D29" i="4" s="1"/>
  <c r="E29" i="4" s="1"/>
  <c r="E30" i="4" s="1"/>
  <c r="D30" i="4" s="1"/>
  <c r="E10" i="4"/>
  <c r="D10" i="4" s="1"/>
  <c r="D11" i="4" s="1"/>
  <c r="E11" i="4" s="1"/>
  <c r="E12" i="4" s="1"/>
  <c r="D12" i="4" s="1"/>
  <c r="J19" i="3"/>
  <c r="J86" i="3"/>
  <c r="E49" i="4"/>
  <c r="J10" i="3"/>
  <c r="E4" i="4"/>
  <c r="D52" i="4"/>
  <c r="D53" i="4" s="1"/>
  <c r="E53" i="4" s="1"/>
  <c r="E54" i="4" s="1"/>
  <c r="D54" i="4" s="1"/>
  <c r="J51" i="3"/>
  <c r="E31" i="4"/>
  <c r="J59" i="3"/>
  <c r="E37" i="4"/>
  <c r="E55" i="4" s="1"/>
  <c r="J73" i="3"/>
  <c r="E43" i="4"/>
  <c r="J29" i="3"/>
  <c r="E22" i="4"/>
  <c r="J104" i="3"/>
  <c r="E65" i="4"/>
  <c r="E83" i="4" s="1"/>
  <c r="J33" i="3"/>
  <c r="E25" i="4"/>
  <c r="J24" i="3"/>
  <c r="E19" i="4"/>
  <c r="J65" i="3"/>
  <c r="E40" i="4"/>
  <c r="J81" i="3"/>
  <c r="E46" i="4"/>
  <c r="H89" i="3"/>
  <c r="I89" i="3" s="1"/>
  <c r="J89" i="3" s="1"/>
  <c r="D19" i="4" l="1"/>
  <c r="D20" i="4" s="1"/>
  <c r="E20" i="4" s="1"/>
  <c r="E21" i="4" s="1"/>
  <c r="D21" i="4" s="1"/>
  <c r="D22" i="4"/>
  <c r="D23" i="4" s="1"/>
  <c r="E23" i="4" s="1"/>
  <c r="E24" i="4" s="1"/>
  <c r="D24" i="4" s="1"/>
  <c r="D31" i="4"/>
  <c r="D32" i="4" s="1"/>
  <c r="E32" i="4" s="1"/>
  <c r="E33" i="4" s="1"/>
  <c r="D33" i="4" s="1"/>
  <c r="D46" i="4"/>
  <c r="D47" i="4" s="1"/>
  <c r="E47" i="4" s="1"/>
  <c r="E48" i="4" s="1"/>
  <c r="D48" i="4" s="1"/>
  <c r="D25" i="4"/>
  <c r="D26" i="4" s="1"/>
  <c r="E26" i="4" s="1"/>
  <c r="E27" i="4" s="1"/>
  <c r="D27" i="4" s="1"/>
  <c r="D43" i="4"/>
  <c r="D44" i="4" s="1"/>
  <c r="E44" i="4" s="1"/>
  <c r="E45" i="4" s="1"/>
  <c r="D45" i="4" s="1"/>
  <c r="D40" i="4"/>
  <c r="D41" i="4" s="1"/>
  <c r="E41" i="4" s="1"/>
  <c r="E42" i="4" s="1"/>
  <c r="D42" i="4" s="1"/>
  <c r="D4" i="4"/>
  <c r="D5" i="4" s="1"/>
  <c r="E5" i="4" s="1"/>
  <c r="D49" i="4"/>
  <c r="D50" i="4" s="1"/>
  <c r="E50" i="4" s="1"/>
  <c r="E51" i="4" s="1"/>
  <c r="D51" i="4" s="1"/>
  <c r="D37" i="4"/>
  <c r="D38" i="4" s="1"/>
  <c r="E38" i="4" s="1"/>
  <c r="D65" i="4"/>
  <c r="D66" i="4" s="1"/>
  <c r="E66" i="4" s="1"/>
  <c r="E34" i="1"/>
  <c r="C34" i="1"/>
  <c r="C19" i="1"/>
  <c r="E84" i="4" l="1"/>
  <c r="D84" i="4" s="1"/>
  <c r="E39" i="4"/>
  <c r="D39" i="4" s="1"/>
  <c r="E56" i="4"/>
  <c r="D56" i="4" s="1"/>
  <c r="E67" i="4"/>
  <c r="D67" i="4" s="1"/>
  <c r="E6" i="4"/>
  <c r="D6" i="4" s="1"/>
  <c r="D83" i="4"/>
  <c r="D55" i="4"/>
  <c r="E19" i="1"/>
  <c r="E85" i="4" l="1"/>
  <c r="D85" i="4" s="1"/>
  <c r="E57" i="4"/>
  <c r="D57" i="4" s="1"/>
</calcChain>
</file>

<file path=xl/sharedStrings.xml><?xml version="1.0" encoding="utf-8"?>
<sst xmlns="http://schemas.openxmlformats.org/spreadsheetml/2006/main" count="465" uniqueCount="226">
  <si>
    <t>Table B-17. First Scenario of Potential Water Conservation for Region 1 of the St. Johns River Water Management District and the North Florida Regional Water Supply Planning Region of the Suwannee River Water Management District.</t>
  </si>
  <si>
    <t>Category</t>
  </si>
  <si>
    <t>District</t>
  </si>
  <si>
    <t>Projected 2045 Water Demand</t>
  </si>
  <si>
    <t>First Conservation Scenario</t>
  </si>
  <si>
    <t>Percent Conservation</t>
  </si>
  <si>
    <t>Projected 2045 Water Conservation</t>
  </si>
  <si>
    <t xml:space="preserve">Public Supply </t>
  </si>
  <si>
    <t>SJRWMD</t>
  </si>
  <si>
    <t>SRWMD</t>
  </si>
  <si>
    <t xml:space="preserve">Domestic Self-supply and Small Public Supply Systems </t>
  </si>
  <si>
    <t xml:space="preserve">Agricultural Irrigation Self-supply </t>
  </si>
  <si>
    <t>N/A</t>
  </si>
  <si>
    <t>**</t>
  </si>
  <si>
    <t xml:space="preserve">Landscape / Recreational Self-supply </t>
  </si>
  <si>
    <t xml:space="preserve">Commercial / Industrial / Institutional Self-supply </t>
  </si>
  <si>
    <t xml:space="preserve">Power Generation Self-supply </t>
  </si>
  <si>
    <t>SJRWMD Region 1 Total</t>
  </si>
  <si>
    <t>SRWMD NFRWSP Total</t>
  </si>
  <si>
    <t>NFRWSP Total</t>
  </si>
  <si>
    <t>Notes:</t>
  </si>
  <si>
    <t xml:space="preserve">1.) First Conservation Scenario - Percent of potential conservation for public supply, domestic self-supply, landscape/recreational self-supply, commercial/industrial/institutional self-supply, and power generation self-supply were based on the 2020 CFWI estimated percent savings. </t>
  </si>
  <si>
    <t>2.) First Conservation Scenario - Agriculture is based on the Florida Department of Agriculture and Consumer Services Florida Statewide Agricultural Irrigation Demand VII Balmoral deliverable.</t>
  </si>
  <si>
    <t>Table B-17. First Scenario of Potential Water Conservation for the Western Planning Region of the Suwannee River Water Management District.</t>
  </si>
  <si>
    <t>Interactive FSAID Power BI Conservation Slide 5</t>
  </si>
  <si>
    <t xml:space="preserve">Projected 2045 Water Demand </t>
  </si>
  <si>
    <t>https://app.powerbi.com/view?r=eyJrIjoiNzBkZmI0YjYtYThjYi00OWY0LTllZjgtNTk1NTNjNjRmYTMxIiwidCI6ImNkZjIwZmQ4LTUzYzgtNDA5ZC1hZDViLTM4NDVmNjJiYWY2ZCIsImMiOjJ9</t>
  </si>
  <si>
    <t>SRWMD Western Planning Region Total</t>
  </si>
  <si>
    <t>Table B-16 (Part I). Average Gross Per Capita Scenario for Potential Public Supply Conservation for Region 1 of the St. Johns River Water Management District and the North Florida Regional Water Supply Planning Region of the Suwannee River Water Management District.</t>
  </si>
  <si>
    <t>County</t>
  </si>
  <si>
    <t xml:space="preserve">Utility </t>
  </si>
  <si>
    <t>CUP Number</t>
  </si>
  <si>
    <t>2045 Population Projection</t>
  </si>
  <si>
    <t>2045 Water Demand Projection</t>
  </si>
  <si>
    <t xml:space="preserve">Utility-Level 2014-2018 Average Gross Per Capita </t>
  </si>
  <si>
    <t>2014-2018 Average Gross Per Capita for Part I</t>
  </si>
  <si>
    <t>New 2045 Water Demand if Utility-Level Average Gross Per Capita is limited to the Average Gross for Part I</t>
  </si>
  <si>
    <t>Potential Reduction in 2045 Water Demand</t>
  </si>
  <si>
    <t>Potential Reduction in 2045 Water Demand (Percent)</t>
  </si>
  <si>
    <t xml:space="preserve"> </t>
  </si>
  <si>
    <t>Alachua - SJRWMD</t>
  </si>
  <si>
    <t>City of Hawthorne</t>
  </si>
  <si>
    <t>Gainesville Regional Utilities (includes SRWMD)</t>
  </si>
  <si>
    <t>Kincaid Hills Water Company</t>
  </si>
  <si>
    <t xml:space="preserve">Town of Micanopy </t>
  </si>
  <si>
    <t>Arredondo Utility Co / Aqua Source Utilities</t>
  </si>
  <si>
    <t>11364, 132141</t>
  </si>
  <si>
    <t>SJRWMD Alachua Total</t>
  </si>
  <si>
    <t>Alachua - SRWMD</t>
  </si>
  <si>
    <t>City Of Newberry</t>
  </si>
  <si>
    <t>City Of Archer</t>
  </si>
  <si>
    <t>City Of High Springs Water Plant</t>
  </si>
  <si>
    <t>City Of Waldo</t>
  </si>
  <si>
    <t>City Of Alachua</t>
  </si>
  <si>
    <t>SRWMD Alachua Total</t>
  </si>
  <si>
    <t>Baker - SJRWMD</t>
  </si>
  <si>
    <t>City of Macclenny</t>
  </si>
  <si>
    <t>Town of Glen St Mary</t>
  </si>
  <si>
    <t>SJRWMD Baker Total</t>
  </si>
  <si>
    <t>Bradford - SJRWMD</t>
  </si>
  <si>
    <t xml:space="preserve">Clay County Utility Authority </t>
  </si>
  <si>
    <t>SJRWMD Bradford Total</t>
  </si>
  <si>
    <t>Bradford - SRWMD</t>
  </si>
  <si>
    <t>City of Starke</t>
  </si>
  <si>
    <t>City of Lawtey</t>
  </si>
  <si>
    <t>SRWMD Bradford Total</t>
  </si>
  <si>
    <t>Clay - SJRWMD</t>
  </si>
  <si>
    <t>Town of Orange Park</t>
  </si>
  <si>
    <t>City of Green Cove Springs</t>
  </si>
  <si>
    <t>JEA (Also in Duval, Nassau, St. Johns)</t>
  </si>
  <si>
    <t>88271</t>
  </si>
  <si>
    <t>SJRWMD Clay Total</t>
  </si>
  <si>
    <t>Columbia - SRWMD</t>
  </si>
  <si>
    <t>City of Lake City</t>
  </si>
  <si>
    <t>Columbia County Board of Commissioners</t>
  </si>
  <si>
    <t>SRWMD Columbia Total</t>
  </si>
  <si>
    <t>Duval - SJRWMD</t>
  </si>
  <si>
    <t>756</t>
  </si>
  <si>
    <t>City of Baldwin</t>
  </si>
  <si>
    <t>784</t>
  </si>
  <si>
    <t>City of Jacksonville Beach</t>
  </si>
  <si>
    <t>793</t>
  </si>
  <si>
    <t xml:space="preserve">Atlantic Beach Utility </t>
  </si>
  <si>
    <t>810</t>
  </si>
  <si>
    <t>City of Neptune Beach</t>
  </si>
  <si>
    <t>842</t>
  </si>
  <si>
    <t>St Johns County Utilities / Intercoastal (Also in St. Johns)</t>
  </si>
  <si>
    <t>1142</t>
  </si>
  <si>
    <t>Normandy Villages Utilities</t>
  </si>
  <si>
    <t>50293</t>
  </si>
  <si>
    <t>JEA (Also in Clay, Nassau, St. Johns)</t>
  </si>
  <si>
    <t>SJRWMD Duval Total</t>
  </si>
  <si>
    <t>Flagler - SJRWMD</t>
  </si>
  <si>
    <t>City of Flagler Beach</t>
  </si>
  <si>
    <t>59</t>
  </si>
  <si>
    <t>City of Palm Coast</t>
  </si>
  <si>
    <t>1947</t>
  </si>
  <si>
    <t>Plantation Bay Utility Company (Also in Volusia)</t>
  </si>
  <si>
    <t>1960</t>
  </si>
  <si>
    <t>City of Bunnell</t>
  </si>
  <si>
    <t>1982</t>
  </si>
  <si>
    <t xml:space="preserve">Manufactured Home Communities </t>
  </si>
  <si>
    <t>2002</t>
  </si>
  <si>
    <t>City of Ormond Beach (Also in Volusia)</t>
  </si>
  <si>
    <t>8932</t>
  </si>
  <si>
    <t>Volusia County Utilities (Also in Volusia)</t>
  </si>
  <si>
    <t>50157, 50659, 86278</t>
  </si>
  <si>
    <t xml:space="preserve">Dunes Community Development District </t>
  </si>
  <si>
    <t>SJRWMD Flagler Total</t>
  </si>
  <si>
    <t>Gilchrist - SRWMD</t>
  </si>
  <si>
    <t>City of Trenton Water Treatment Plant</t>
  </si>
  <si>
    <t>Fanning Springs (Also in Dixie and Levy)</t>
  </si>
  <si>
    <t>SRWMD Gilchrist Total</t>
  </si>
  <si>
    <t>Hamilton - SRWMD</t>
  </si>
  <si>
    <t>Town of Jennings</t>
  </si>
  <si>
    <t>216567</t>
  </si>
  <si>
    <t>Town of White Springs</t>
  </si>
  <si>
    <t>216651</t>
  </si>
  <si>
    <t>Hamilton County Water Facilities</t>
  </si>
  <si>
    <t>220443</t>
  </si>
  <si>
    <t>City of Jasper</t>
  </si>
  <si>
    <t>220463</t>
  </si>
  <si>
    <t>SRWMD Hamilton Total</t>
  </si>
  <si>
    <t>Nassau - SJRWMD</t>
  </si>
  <si>
    <t>City of Fernandina Beach</t>
  </si>
  <si>
    <t>122</t>
  </si>
  <si>
    <t xml:space="preserve">Town of Callahan </t>
  </si>
  <si>
    <t>922</t>
  </si>
  <si>
    <t>Town of Hilliard</t>
  </si>
  <si>
    <t>948</t>
  </si>
  <si>
    <t>Nassau Amelia Utilities</t>
  </si>
  <si>
    <t>50087</t>
  </si>
  <si>
    <t>JEA (Also in Clay, Duval, St. Johns / Old 942)</t>
  </si>
  <si>
    <t>SJRWMD Nassau Total</t>
  </si>
  <si>
    <t>Putnam - SJRWMD</t>
  </si>
  <si>
    <t>Town of Interlachen</t>
  </si>
  <si>
    <t>1624, 8150</t>
  </si>
  <si>
    <t>City of Crescent City</t>
  </si>
  <si>
    <t>Melrose Water Association</t>
  </si>
  <si>
    <t>River Park Utilities Management Assoc.</t>
  </si>
  <si>
    <t>City of Palatka</t>
  </si>
  <si>
    <t xml:space="preserve">Town of Welaka </t>
  </si>
  <si>
    <t>Putnam County BOCC</t>
  </si>
  <si>
    <t>SJRWMD Putnam Total</t>
  </si>
  <si>
    <t>St. Johns - SJRWMD</t>
  </si>
  <si>
    <t xml:space="preserve">North Beach Utilities </t>
  </si>
  <si>
    <t>Wildwood Water Company</t>
  </si>
  <si>
    <t>St. Johns County Utilities / Intercoastal (Also in Duval)</t>
  </si>
  <si>
    <t xml:space="preserve">St. Johns County Utilities </t>
  </si>
  <si>
    <t>City of St. Augustine Utilities</t>
  </si>
  <si>
    <t>JEA (Also in Clay, Duval, Nassau)</t>
  </si>
  <si>
    <t>SJRWMD St. Johns Total</t>
  </si>
  <si>
    <t>Suwannee - SRWMD</t>
  </si>
  <si>
    <t>Town of Wellborn</t>
  </si>
  <si>
    <t>Town of Branford</t>
  </si>
  <si>
    <t>Advent Christian Village</t>
  </si>
  <si>
    <t>City of Live Oak</t>
  </si>
  <si>
    <t>SRWMD Suwannee Total</t>
  </si>
  <si>
    <t>Union - SRWMD</t>
  </si>
  <si>
    <t>City of Lake Butler</t>
  </si>
  <si>
    <t>SRWMD Union Total</t>
  </si>
  <si>
    <t>Region I Total</t>
  </si>
  <si>
    <t>Region I SJRWMD 2014-2018 Average Gross Per Capita</t>
  </si>
  <si>
    <t>Region I SRWMD 2014-2018 Average Gross Per Capita</t>
  </si>
  <si>
    <t>1.) Projected 2045 water demand and potential reduction is shown in million gallons per day.</t>
  </si>
  <si>
    <t>Table B-16 (2-Part II). Average Gross Per Capita Scenario for Potential Public Supply Conservation in in the Western Planning Region of the Suwannee River Water Management District.</t>
  </si>
  <si>
    <t>Permit Number</t>
  </si>
  <si>
    <t>2045 Water  Demand Projection</t>
  </si>
  <si>
    <t>2014-2018 Average Gross Per Capita for Part II</t>
  </si>
  <si>
    <t>New 2045 Water Demand if Utility-Level Average Gross Per Capita is limited to the Average Gross for Part II</t>
  </si>
  <si>
    <t>Dixie - SRWMD</t>
  </si>
  <si>
    <t>Town of Cross City</t>
  </si>
  <si>
    <t>Town of Suwannee</t>
  </si>
  <si>
    <t>Town of Horseshoe Beach</t>
  </si>
  <si>
    <t>NCRWA Old Town (Also in Gilchrist and Levy)</t>
  </si>
  <si>
    <t>SRWMD Dixie Total</t>
  </si>
  <si>
    <t>Jefferson - SRWMD</t>
  </si>
  <si>
    <t>Jefferson Communities Water System Inc.</t>
  </si>
  <si>
    <t>SRWMD Jefferson Total</t>
  </si>
  <si>
    <t>Lafayette - SRWMD</t>
  </si>
  <si>
    <t>Town of Mayo</t>
  </si>
  <si>
    <t>SRWMD Lafayette Total</t>
  </si>
  <si>
    <t>Levy - SRWMD</t>
  </si>
  <si>
    <t>Cedar Key SP Water &amp; Sewer District</t>
  </si>
  <si>
    <t>216821</t>
  </si>
  <si>
    <t>City of Chiefland</t>
  </si>
  <si>
    <t>216826</t>
  </si>
  <si>
    <t>Town of Bronson</t>
  </si>
  <si>
    <t>216830</t>
  </si>
  <si>
    <t>City of Fanning Springs (Also in Dixie and Gilchrist)</t>
  </si>
  <si>
    <t>220310</t>
  </si>
  <si>
    <t>SRWMD Levy Total</t>
  </si>
  <si>
    <t>Madison - SRWMD</t>
  </si>
  <si>
    <t>City of Madison</t>
  </si>
  <si>
    <t>216506</t>
  </si>
  <si>
    <t>Town of Greenville</t>
  </si>
  <si>
    <t>217127</t>
  </si>
  <si>
    <t>Town of Lee</t>
  </si>
  <si>
    <t>218663</t>
  </si>
  <si>
    <t>Cherry Lake Utilities Corporation Inc.</t>
  </si>
  <si>
    <t>219588</t>
  </si>
  <si>
    <t>SRWMD Madison Total</t>
  </si>
  <si>
    <t>Taylor - SRWMD</t>
  </si>
  <si>
    <t>City of Perry</t>
  </si>
  <si>
    <t>Big Bend Water Authority</t>
  </si>
  <si>
    <t>Taylor Coastal</t>
  </si>
  <si>
    <t>SRWMD Taylor Total</t>
  </si>
  <si>
    <t xml:space="preserve">Region II Total </t>
  </si>
  <si>
    <t>Part II 2014-2018 Average Gross Per Capita</t>
  </si>
  <si>
    <t>Table B-17. Range of Potential Water Conservation for Region 1 of the St. Johns River Water Management District and the North Florida Regional Water Supply Planning Region of the Suwannee River Water Management District.</t>
  </si>
  <si>
    <t>Second Conservation Scenario</t>
  </si>
  <si>
    <t>Public Supply</t>
  </si>
  <si>
    <t>Domestic Self-supply and Small Public Supply Systems</t>
  </si>
  <si>
    <t xml:space="preserve">Total </t>
  </si>
  <si>
    <t>Baker - SRWMD</t>
  </si>
  <si>
    <t xml:space="preserve">NFRWSP Total </t>
  </si>
  <si>
    <t>1.) Second Conservation Scenario - Public supply is based on savings achieved if each Part 2014-2018 average gross per capita rate was met by respective utilities. The same percent savings are applied to the domestic self-supply category.</t>
  </si>
  <si>
    <t>2.) Projected 2045 water demand and 2045 water conservation potential are shown in million gallons per day.</t>
  </si>
  <si>
    <t>Table B-17. Range of Potential Water Conservation for the Western Planning Region of the Suwannee River Water Management District.</t>
  </si>
  <si>
    <t>Western Planning Region Total</t>
  </si>
  <si>
    <t>2.) Projected 2045 water demand and 2045 water conservation potential is shown in million gallons per day.</t>
  </si>
  <si>
    <t>416, 431, 137335</t>
  </si>
  <si>
    <t>CSWR - Florida Utility Operating Company, LLC</t>
  </si>
  <si>
    <t>North Florida Mega Industrial Park Wellfield</t>
  </si>
  <si>
    <t>2.) Due to feedback from stakeholders, 2045 demand projections have been updated to reflect what was modeled for the Black Creek Settlement Agreement and therefore don't reflect the 2014-2018 average per capita. The per capitas have been recalculated in this table based on the updated 2045 populations and demand.</t>
  </si>
  <si>
    <t>3.) Projected 2045 water demand and 2045 conservation potential are shown in million gallons per 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</si>
</sst>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439">
    <xf numFmtId="0" fontId="0" fillId="0" borderId="0" xfId="0"/>
    <xf numFmtId="0" fontId="3" fillId="0" borderId="2" xfId="0" applyFont="1" applyBorder="1" applyAlignment="1">
      <alignment horizontal="left"/>
    </xf>
    <xf numFmtId="0" fontId="2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33" xfId="0" applyFont="1" applyBorder="1" applyAlignment="1">
      <alignment horizontal="left"/>
    </xf>
    <xf numFmtId="1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4" fontId="5" fillId="0" borderId="33" xfId="0" applyNumberFormat="1" applyFont="1" applyBorder="1"/>
    <xf numFmtId="2" fontId="5" fillId="2" borderId="36" xfId="0" applyNumberFormat="1" applyFont="1" applyFill="1" applyBorder="1"/>
    <xf numFmtId="164" fontId="5" fillId="2" borderId="39" xfId="1" applyNumberFormat="1" applyFont="1" applyFill="1" applyBorder="1"/>
    <xf numFmtId="0" fontId="3" fillId="0" borderId="19" xfId="0" applyFont="1" applyBorder="1" applyAlignment="1">
      <alignment horizontal="left"/>
    </xf>
    <xf numFmtId="1" fontId="3" fillId="0" borderId="4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4" fontId="5" fillId="0" borderId="19" xfId="0" applyNumberFormat="1" applyFont="1" applyBorder="1"/>
    <xf numFmtId="2" fontId="5" fillId="2" borderId="20" xfId="0" applyNumberFormat="1" applyFont="1" applyFill="1" applyBorder="1"/>
    <xf numFmtId="164" fontId="5" fillId="2" borderId="21" xfId="1" applyNumberFormat="1" applyFont="1" applyFill="1" applyBorder="1"/>
    <xf numFmtId="0" fontId="3" fillId="0" borderId="19" xfId="0" applyFont="1" applyBorder="1"/>
    <xf numFmtId="3" fontId="3" fillId="0" borderId="43" xfId="0" applyNumberFormat="1" applyFont="1" applyBorder="1" applyAlignment="1">
      <alignment horizontal="right"/>
    </xf>
    <xf numFmtId="2" fontId="5" fillId="0" borderId="19" xfId="0" applyNumberFormat="1" applyFont="1" applyBorder="1"/>
    <xf numFmtId="0" fontId="3" fillId="0" borderId="44" xfId="0" applyFont="1" applyBorder="1"/>
    <xf numFmtId="1" fontId="3" fillId="0" borderId="45" xfId="0" applyNumberFormat="1" applyFont="1" applyBorder="1" applyAlignment="1">
      <alignment horizontal="center"/>
    </xf>
    <xf numFmtId="3" fontId="3" fillId="0" borderId="46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4" fontId="5" fillId="0" borderId="29" xfId="0" applyNumberFormat="1" applyFont="1" applyBorder="1"/>
    <xf numFmtId="2" fontId="5" fillId="2" borderId="30" xfId="0" applyNumberFormat="1" applyFont="1" applyFill="1" applyBorder="1"/>
    <xf numFmtId="164" fontId="5" fillId="2" borderId="31" xfId="1" applyNumberFormat="1" applyFont="1" applyFill="1" applyBorder="1"/>
    <xf numFmtId="3" fontId="2" fillId="0" borderId="49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4" fontId="4" fillId="0" borderId="51" xfId="0" applyNumberFormat="1" applyFont="1" applyBorder="1"/>
    <xf numFmtId="2" fontId="4" fillId="2" borderId="52" xfId="0" applyNumberFormat="1" applyFont="1" applyFill="1" applyBorder="1"/>
    <xf numFmtId="164" fontId="4" fillId="2" borderId="53" xfId="1" applyNumberFormat="1" applyFont="1" applyFill="1" applyBorder="1"/>
    <xf numFmtId="0" fontId="3" fillId="0" borderId="10" xfId="0" applyFont="1" applyBorder="1"/>
    <xf numFmtId="1" fontId="3" fillId="0" borderId="54" xfId="0" applyNumberFormat="1" applyFont="1" applyBorder="1" applyAlignment="1">
      <alignment horizontal="center"/>
    </xf>
    <xf numFmtId="3" fontId="3" fillId="0" borderId="55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4" fontId="5" fillId="0" borderId="10" xfId="0" applyNumberFormat="1" applyFont="1" applyBorder="1"/>
    <xf numFmtId="2" fontId="5" fillId="2" borderId="11" xfId="0" applyNumberFormat="1" applyFont="1" applyFill="1" applyBorder="1"/>
    <xf numFmtId="164" fontId="5" fillId="2" borderId="12" xfId="1" applyNumberFormat="1" applyFont="1" applyFill="1" applyBorder="1"/>
    <xf numFmtId="0" fontId="3" fillId="0" borderId="44" xfId="0" applyFont="1" applyBorder="1" applyAlignment="1">
      <alignment horizontal="left"/>
    </xf>
    <xf numFmtId="2" fontId="4" fillId="0" borderId="5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3" fillId="0" borderId="57" xfId="0" applyFont="1" applyBorder="1" applyAlignment="1">
      <alignment horizontal="left"/>
    </xf>
    <xf numFmtId="1" fontId="3" fillId="0" borderId="58" xfId="0" applyNumberFormat="1" applyFont="1" applyBorder="1" applyAlignment="1">
      <alignment horizontal="center"/>
    </xf>
    <xf numFmtId="2" fontId="5" fillId="0" borderId="59" xfId="0" applyNumberFormat="1" applyFont="1" applyBorder="1" applyAlignment="1">
      <alignment horizontal="right"/>
    </xf>
    <xf numFmtId="3" fontId="5" fillId="0" borderId="60" xfId="0" applyNumberFormat="1" applyFont="1" applyBorder="1" applyAlignment="1">
      <alignment horizontal="right"/>
    </xf>
    <xf numFmtId="3" fontId="5" fillId="0" borderId="61" xfId="0" applyNumberFormat="1" applyFont="1" applyBorder="1" applyAlignment="1">
      <alignment horizontal="right"/>
    </xf>
    <xf numFmtId="2" fontId="5" fillId="2" borderId="59" xfId="0" applyNumberFormat="1" applyFont="1" applyFill="1" applyBorder="1"/>
    <xf numFmtId="164" fontId="5" fillId="2" borderId="62" xfId="1" applyNumberFormat="1" applyFont="1" applyFill="1" applyBorder="1"/>
    <xf numFmtId="165" fontId="5" fillId="0" borderId="0" xfId="0" applyNumberFormat="1" applyFont="1"/>
    <xf numFmtId="0" fontId="3" fillId="0" borderId="64" xfId="0" applyFont="1" applyBorder="1" applyAlignment="1">
      <alignment horizontal="left"/>
    </xf>
    <xf numFmtId="1" fontId="3" fillId="0" borderId="65" xfId="0" applyNumberFormat="1" applyFont="1" applyBorder="1" applyAlignment="1">
      <alignment horizontal="center"/>
    </xf>
    <xf numFmtId="3" fontId="3" fillId="0" borderId="66" xfId="0" applyNumberFormat="1" applyFont="1" applyBorder="1" applyAlignment="1">
      <alignment horizontal="right"/>
    </xf>
    <xf numFmtId="2" fontId="5" fillId="0" borderId="67" xfId="0" applyNumberFormat="1" applyFont="1" applyBorder="1" applyAlignment="1">
      <alignment horizontal="right"/>
    </xf>
    <xf numFmtId="3" fontId="5" fillId="0" borderId="68" xfId="0" applyNumberFormat="1" applyFont="1" applyBorder="1" applyAlignment="1">
      <alignment horizontal="right"/>
    </xf>
    <xf numFmtId="3" fontId="5" fillId="0" borderId="69" xfId="0" applyNumberFormat="1" applyFont="1" applyBorder="1" applyAlignment="1">
      <alignment horizontal="right"/>
    </xf>
    <xf numFmtId="4" fontId="5" fillId="0" borderId="70" xfId="0" applyNumberFormat="1" applyFont="1" applyBorder="1"/>
    <xf numFmtId="2" fontId="5" fillId="2" borderId="67" xfId="0" applyNumberFormat="1" applyFont="1" applyFill="1" applyBorder="1"/>
    <xf numFmtId="164" fontId="5" fillId="2" borderId="71" xfId="1" applyNumberFormat="1" applyFont="1" applyFill="1" applyBorder="1"/>
    <xf numFmtId="0" fontId="3" fillId="0" borderId="72" xfId="0" applyFont="1" applyBorder="1" applyAlignment="1">
      <alignment wrapText="1"/>
    </xf>
    <xf numFmtId="1" fontId="3" fillId="0" borderId="14" xfId="0" applyNumberFormat="1" applyFont="1" applyBorder="1" applyAlignment="1">
      <alignment horizontal="center"/>
    </xf>
    <xf numFmtId="2" fontId="5" fillId="0" borderId="57" xfId="0" applyNumberFormat="1" applyFont="1" applyBorder="1"/>
    <xf numFmtId="0" fontId="3" fillId="0" borderId="44" xfId="0" applyFont="1" applyBorder="1" applyAlignment="1">
      <alignment horizontal="left" wrapText="1"/>
    </xf>
    <xf numFmtId="3" fontId="2" fillId="0" borderId="74" xfId="0" applyNumberFormat="1" applyFont="1" applyBorder="1" applyAlignment="1">
      <alignment horizontal="right"/>
    </xf>
    <xf numFmtId="4" fontId="2" fillId="0" borderId="75" xfId="0" applyNumberFormat="1" applyFont="1" applyBorder="1" applyAlignment="1">
      <alignment horizontal="right"/>
    </xf>
    <xf numFmtId="0" fontId="4" fillId="0" borderId="76" xfId="0" applyFont="1" applyBorder="1" applyAlignment="1">
      <alignment horizontal="right"/>
    </xf>
    <xf numFmtId="0" fontId="4" fillId="0" borderId="77" xfId="0" applyFont="1" applyBorder="1" applyAlignment="1">
      <alignment horizontal="right"/>
    </xf>
    <xf numFmtId="4" fontId="4" fillId="0" borderId="78" xfId="0" applyNumberFormat="1" applyFont="1" applyBorder="1"/>
    <xf numFmtId="2" fontId="4" fillId="2" borderId="75" xfId="0" applyNumberFormat="1" applyFont="1" applyFill="1" applyBorder="1"/>
    <xf numFmtId="164" fontId="4" fillId="2" borderId="50" xfId="1" applyNumberFormat="1" applyFont="1" applyFill="1" applyBorder="1"/>
    <xf numFmtId="0" fontId="3" fillId="0" borderId="79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" fontId="3" fillId="0" borderId="59" xfId="0" applyNumberFormat="1" applyFont="1" applyBorder="1" applyAlignment="1">
      <alignment horizontal="right"/>
    </xf>
    <xf numFmtId="0" fontId="5" fillId="0" borderId="60" xfId="0" applyFont="1" applyBorder="1" applyAlignment="1">
      <alignment horizontal="right"/>
    </xf>
    <xf numFmtId="4" fontId="5" fillId="0" borderId="57" xfId="0" applyNumberFormat="1" applyFont="1" applyBorder="1"/>
    <xf numFmtId="164" fontId="4" fillId="2" borderId="62" xfId="1" applyNumberFormat="1" applyFont="1" applyFill="1" applyBorder="1"/>
    <xf numFmtId="0" fontId="3" fillId="0" borderId="80" xfId="0" applyFont="1" applyBorder="1" applyAlignment="1">
      <alignment horizontal="left"/>
    </xf>
    <xf numFmtId="4" fontId="3" fillId="0" borderId="20" xfId="0" applyNumberFormat="1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4" fillId="2" borderId="21" xfId="1" applyNumberFormat="1" applyFont="1" applyFill="1" applyBorder="1"/>
    <xf numFmtId="3" fontId="3" fillId="0" borderId="1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5" fillId="0" borderId="81" xfId="0" applyFont="1" applyBorder="1" applyAlignment="1">
      <alignment horizontal="right"/>
    </xf>
    <xf numFmtId="4" fontId="5" fillId="0" borderId="82" xfId="0" applyNumberFormat="1" applyFont="1" applyBorder="1"/>
    <xf numFmtId="2" fontId="5" fillId="2" borderId="16" xfId="0" applyNumberFormat="1" applyFont="1" applyFill="1" applyBorder="1"/>
    <xf numFmtId="164" fontId="4" fillId="2" borderId="17" xfId="1" applyNumberFormat="1" applyFont="1" applyFill="1" applyBorder="1"/>
    <xf numFmtId="0" fontId="3" fillId="0" borderId="83" xfId="0" applyFont="1" applyBorder="1" applyAlignment="1">
      <alignment horizontal="left"/>
    </xf>
    <xf numFmtId="4" fontId="3" fillId="0" borderId="30" xfId="0" applyNumberFormat="1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164" fontId="4" fillId="2" borderId="31" xfId="1" applyNumberFormat="1" applyFont="1" applyFill="1" applyBorder="1"/>
    <xf numFmtId="4" fontId="2" fillId="0" borderId="52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3" fillId="0" borderId="81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2" fontId="4" fillId="2" borderId="11" xfId="0" applyNumberFormat="1" applyFont="1" applyFill="1" applyBorder="1"/>
    <xf numFmtId="164" fontId="4" fillId="2" borderId="12" xfId="1" applyNumberFormat="1" applyFont="1" applyFill="1" applyBorder="1"/>
    <xf numFmtId="0" fontId="3" fillId="0" borderId="85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2" fontId="4" fillId="2" borderId="30" xfId="0" applyNumberFormat="1" applyFont="1" applyFill="1" applyBorder="1"/>
    <xf numFmtId="0" fontId="3" fillId="0" borderId="86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2" fontId="4" fillId="2" borderId="20" xfId="0" applyNumberFormat="1" applyFont="1" applyFill="1" applyBorder="1"/>
    <xf numFmtId="3" fontId="5" fillId="0" borderId="13" xfId="0" applyNumberFormat="1" applyFont="1" applyBorder="1" applyAlignment="1">
      <alignment horizontal="right"/>
    </xf>
    <xf numFmtId="2" fontId="4" fillId="2" borderId="16" xfId="0" applyNumberFormat="1" applyFont="1" applyFill="1" applyBorder="1"/>
    <xf numFmtId="0" fontId="3" fillId="0" borderId="72" xfId="0" applyFont="1" applyBorder="1" applyAlignment="1">
      <alignment horizontal="left"/>
    </xf>
    <xf numFmtId="3" fontId="5" fillId="0" borderId="63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82" xfId="0" applyFont="1" applyBorder="1" applyAlignment="1">
      <alignment horizontal="left"/>
    </xf>
    <xf numFmtId="164" fontId="4" fillId="2" borderId="40" xfId="1" applyNumberFormat="1" applyFont="1" applyFill="1" applyBorder="1"/>
    <xf numFmtId="0" fontId="5" fillId="0" borderId="15" xfId="0" applyFont="1" applyBorder="1"/>
    <xf numFmtId="0" fontId="3" fillId="0" borderId="3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87" xfId="0" applyFont="1" applyBorder="1" applyAlignment="1">
      <alignment horizontal="left"/>
    </xf>
    <xf numFmtId="4" fontId="5" fillId="0" borderId="80" xfId="0" applyNumberFormat="1" applyFont="1" applyBorder="1"/>
    <xf numFmtId="0" fontId="3" fillId="0" borderId="21" xfId="0" applyFont="1" applyBorder="1" applyAlignment="1">
      <alignment horizontal="center"/>
    </xf>
    <xf numFmtId="3" fontId="3" fillId="0" borderId="88" xfId="0" applyNumberFormat="1" applyFont="1" applyBorder="1" applyAlignment="1">
      <alignment horizontal="right"/>
    </xf>
    <xf numFmtId="0" fontId="3" fillId="0" borderId="89" xfId="0" applyFont="1" applyBorder="1" applyAlignment="1">
      <alignment horizontal="left"/>
    </xf>
    <xf numFmtId="3" fontId="3" fillId="0" borderId="80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71" xfId="0" applyFont="1" applyBorder="1" applyAlignment="1">
      <alignment horizontal="center"/>
    </xf>
    <xf numFmtId="3" fontId="3" fillId="0" borderId="64" xfId="0" applyNumberFormat="1" applyFont="1" applyBorder="1" applyAlignment="1">
      <alignment horizontal="right"/>
    </xf>
    <xf numFmtId="0" fontId="5" fillId="0" borderId="71" xfId="0" applyFont="1" applyBorder="1" applyAlignment="1">
      <alignment horizontal="right"/>
    </xf>
    <xf numFmtId="2" fontId="4" fillId="2" borderId="67" xfId="0" applyNumberFormat="1" applyFont="1" applyFill="1" applyBorder="1"/>
    <xf numFmtId="164" fontId="4" fillId="2" borderId="71" xfId="1" applyNumberFormat="1" applyFont="1" applyFill="1" applyBorder="1"/>
    <xf numFmtId="3" fontId="2" fillId="0" borderId="90" xfId="0" applyNumberFormat="1" applyFont="1" applyBorder="1" applyAlignment="1">
      <alignment horizontal="right"/>
    </xf>
    <xf numFmtId="0" fontId="4" fillId="0" borderId="92" xfId="0" applyFont="1" applyBorder="1" applyAlignment="1">
      <alignment horizontal="right"/>
    </xf>
    <xf numFmtId="0" fontId="6" fillId="0" borderId="0" xfId="0" applyFont="1"/>
    <xf numFmtId="3" fontId="4" fillId="2" borderId="96" xfId="0" applyNumberFormat="1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49" fontId="3" fillId="0" borderId="10" xfId="0" applyNumberFormat="1" applyFont="1" applyBorder="1"/>
    <xf numFmtId="0" fontId="3" fillId="0" borderId="34" xfId="0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right"/>
    </xf>
    <xf numFmtId="0" fontId="5" fillId="0" borderId="39" xfId="0" applyFont="1" applyBorder="1" applyAlignment="1">
      <alignment horizontal="right" vertical="center" wrapText="1"/>
    </xf>
    <xf numFmtId="1" fontId="5" fillId="0" borderId="61" xfId="0" applyNumberFormat="1" applyFont="1" applyBorder="1" applyAlignment="1">
      <alignment horizontal="right"/>
    </xf>
    <xf numFmtId="0" fontId="3" fillId="0" borderId="57" xfId="0" applyFont="1" applyBorder="1"/>
    <xf numFmtId="49" fontId="3" fillId="0" borderId="58" xfId="0" applyNumberFormat="1" applyFont="1" applyBorder="1" applyAlignment="1">
      <alignment horizontal="center" wrapText="1"/>
    </xf>
    <xf numFmtId="3" fontId="3" fillId="0" borderId="41" xfId="0" applyNumberFormat="1" applyFont="1" applyBorder="1"/>
    <xf numFmtId="2" fontId="5" fillId="0" borderId="58" xfId="0" applyNumberFormat="1" applyFont="1" applyBorder="1" applyAlignment="1">
      <alignment horizontal="right"/>
    </xf>
    <xf numFmtId="3" fontId="5" fillId="0" borderId="62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right"/>
    </xf>
    <xf numFmtId="49" fontId="3" fillId="0" borderId="40" xfId="0" applyNumberFormat="1" applyFont="1" applyBorder="1" applyAlignment="1">
      <alignment horizontal="center" wrapText="1"/>
    </xf>
    <xf numFmtId="3" fontId="3" fillId="0" borderId="43" xfId="0" applyNumberFormat="1" applyFont="1" applyBorder="1"/>
    <xf numFmtId="2" fontId="5" fillId="0" borderId="4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49" fontId="3" fillId="0" borderId="89" xfId="0" applyNumberFormat="1" applyFont="1" applyBorder="1"/>
    <xf numFmtId="49" fontId="3" fillId="0" borderId="84" xfId="0" applyNumberFormat="1" applyFont="1" applyBorder="1" applyAlignment="1">
      <alignment horizontal="center" wrapText="1"/>
    </xf>
    <xf numFmtId="3" fontId="3" fillId="0" borderId="46" xfId="0" applyNumberFormat="1" applyFont="1" applyBorder="1"/>
    <xf numFmtId="2" fontId="5" fillId="0" borderId="45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1" fontId="5" fillId="0" borderId="28" xfId="0" applyNumberFormat="1" applyFont="1" applyBorder="1" applyAlignment="1">
      <alignment horizontal="right"/>
    </xf>
    <xf numFmtId="2" fontId="5" fillId="0" borderId="29" xfId="0" applyNumberFormat="1" applyFont="1" applyBorder="1"/>
    <xf numFmtId="3" fontId="2" fillId="0" borderId="49" xfId="0" applyNumberFormat="1" applyFont="1" applyBorder="1"/>
    <xf numFmtId="2" fontId="4" fillId="0" borderId="97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1" fontId="4" fillId="0" borderId="48" xfId="0" applyNumberFormat="1" applyFont="1" applyBorder="1" applyAlignment="1">
      <alignment horizontal="right"/>
    </xf>
    <xf numFmtId="2" fontId="4" fillId="0" borderId="51" xfId="0" applyNumberFormat="1" applyFont="1" applyBorder="1"/>
    <xf numFmtId="0" fontId="3" fillId="0" borderId="86" xfId="0" applyFont="1" applyBorder="1"/>
    <xf numFmtId="49" fontId="3" fillId="0" borderId="8" xfId="0" applyNumberFormat="1" applyFont="1" applyBorder="1" applyAlignment="1">
      <alignment horizontal="center" wrapText="1"/>
    </xf>
    <xf numFmtId="3" fontId="3" fillId="0" borderId="66" xfId="0" applyNumberFormat="1" applyFont="1" applyBorder="1"/>
    <xf numFmtId="2" fontId="5" fillId="0" borderId="65" xfId="0" applyNumberFormat="1" applyFont="1" applyBorder="1" applyAlignment="1">
      <alignment horizontal="right"/>
    </xf>
    <xf numFmtId="3" fontId="5" fillId="0" borderId="71" xfId="0" applyNumberFormat="1" applyFont="1" applyBorder="1" applyAlignment="1">
      <alignment horizontal="right"/>
    </xf>
    <xf numFmtId="1" fontId="5" fillId="0" borderId="69" xfId="0" applyNumberFormat="1" applyFont="1" applyBorder="1" applyAlignment="1">
      <alignment horizontal="right"/>
    </xf>
    <xf numFmtId="2" fontId="5" fillId="0" borderId="70" xfId="0" applyNumberFormat="1" applyFont="1" applyBorder="1"/>
    <xf numFmtId="3" fontId="2" fillId="0" borderId="15" xfId="0" applyNumberFormat="1" applyFont="1" applyBorder="1"/>
    <xf numFmtId="0" fontId="3" fillId="0" borderId="64" xfId="0" applyFont="1" applyBorder="1" applyAlignment="1">
      <alignment wrapText="1"/>
    </xf>
    <xf numFmtId="49" fontId="3" fillId="0" borderId="65" xfId="0" applyNumberFormat="1" applyFont="1" applyBorder="1" applyAlignment="1">
      <alignment horizontal="center" wrapText="1"/>
    </xf>
    <xf numFmtId="3" fontId="3" fillId="0" borderId="64" xfId="0" applyNumberFormat="1" applyFont="1" applyBorder="1"/>
    <xf numFmtId="0" fontId="3" fillId="0" borderId="98" xfId="0" applyFont="1" applyBorder="1" applyAlignment="1">
      <alignment wrapText="1"/>
    </xf>
    <xf numFmtId="49" fontId="3" fillId="0" borderId="62" xfId="0" applyNumberFormat="1" applyFont="1" applyBorder="1" applyAlignment="1">
      <alignment horizontal="center" wrapText="1"/>
    </xf>
    <xf numFmtId="49" fontId="3" fillId="0" borderId="19" xfId="0" applyNumberFormat="1" applyFont="1" applyBorder="1"/>
    <xf numFmtId="49" fontId="3" fillId="0" borderId="21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83" xfId="0" applyNumberFormat="1" applyFont="1" applyBorder="1"/>
    <xf numFmtId="49" fontId="3" fillId="0" borderId="57" xfId="0" applyNumberFormat="1" applyFont="1" applyBorder="1"/>
    <xf numFmtId="0" fontId="3" fillId="0" borderId="89" xfId="0" applyFont="1" applyBorder="1"/>
    <xf numFmtId="49" fontId="3" fillId="0" borderId="99" xfId="0" applyNumberFormat="1" applyFont="1" applyBorder="1" applyAlignment="1">
      <alignment horizontal="center" wrapText="1"/>
    </xf>
    <xf numFmtId="4" fontId="2" fillId="0" borderId="97" xfId="0" applyNumberFormat="1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1" fontId="4" fillId="2" borderId="9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2" applyFont="1"/>
    <xf numFmtId="0" fontId="3" fillId="0" borderId="58" xfId="0" applyFont="1" applyBorder="1" applyAlignment="1">
      <alignment wrapText="1"/>
    </xf>
    <xf numFmtId="2" fontId="3" fillId="0" borderId="61" xfId="0" applyNumberFormat="1" applyFont="1" applyBorder="1" applyAlignment="1">
      <alignment wrapText="1"/>
    </xf>
    <xf numFmtId="2" fontId="5" fillId="0" borderId="62" xfId="0" applyNumberFormat="1" applyFont="1" applyBorder="1"/>
    <xf numFmtId="2" fontId="3" fillId="0" borderId="18" xfId="0" applyNumberFormat="1" applyFont="1" applyBorder="1" applyAlignment="1">
      <alignment wrapText="1"/>
    </xf>
    <xf numFmtId="0" fontId="3" fillId="0" borderId="45" xfId="0" applyFont="1" applyBorder="1" applyAlignment="1">
      <alignment wrapText="1"/>
    </xf>
    <xf numFmtId="2" fontId="3" fillId="0" borderId="28" xfId="0" applyNumberFormat="1" applyFont="1" applyBorder="1" applyAlignment="1">
      <alignment wrapText="1"/>
    </xf>
    <xf numFmtId="2" fontId="5" fillId="0" borderId="31" xfId="0" applyNumberFormat="1" applyFont="1" applyBorder="1"/>
    <xf numFmtId="0" fontId="2" fillId="0" borderId="97" xfId="0" applyFont="1" applyBorder="1" applyAlignment="1">
      <alignment wrapText="1"/>
    </xf>
    <xf numFmtId="2" fontId="2" fillId="0" borderId="48" xfId="0" applyNumberFormat="1" applyFont="1" applyBorder="1" applyAlignment="1">
      <alignment wrapText="1"/>
    </xf>
    <xf numFmtId="2" fontId="2" fillId="0" borderId="97" xfId="0" applyNumberFormat="1" applyFont="1" applyBorder="1" applyAlignment="1">
      <alignment wrapText="1"/>
    </xf>
    <xf numFmtId="0" fontId="4" fillId="0" borderId="0" xfId="0" applyFont="1"/>
    <xf numFmtId="2" fontId="3" fillId="0" borderId="9" xfId="0" applyNumberFormat="1" applyFont="1" applyBorder="1" applyAlignment="1">
      <alignment wrapText="1"/>
    </xf>
    <xf numFmtId="2" fontId="3" fillId="0" borderId="43" xfId="0" applyNumberFormat="1" applyFont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2" fontId="3" fillId="0" borderId="21" xfId="0" applyNumberFormat="1" applyFont="1" applyBorder="1" applyAlignment="1">
      <alignment wrapText="1"/>
    </xf>
    <xf numFmtId="2" fontId="4" fillId="0" borderId="31" xfId="0" applyNumberFormat="1" applyFont="1" applyBorder="1"/>
    <xf numFmtId="2" fontId="2" fillId="0" borderId="32" xfId="0" applyNumberFormat="1" applyFont="1" applyBorder="1" applyAlignment="1">
      <alignment wrapText="1"/>
    </xf>
    <xf numFmtId="2" fontId="2" fillId="0" borderId="77" xfId="0" applyNumberFormat="1" applyFont="1" applyBorder="1" applyAlignment="1">
      <alignment wrapText="1"/>
    </xf>
    <xf numFmtId="2" fontId="4" fillId="0" borderId="62" xfId="0" applyNumberFormat="1" applyFont="1" applyBorder="1"/>
    <xf numFmtId="2" fontId="3" fillId="0" borderId="63" xfId="0" applyNumberFormat="1" applyFont="1" applyBorder="1" applyAlignment="1">
      <alignment wrapText="1"/>
    </xf>
    <xf numFmtId="0" fontId="2" fillId="0" borderId="58" xfId="0" applyFont="1" applyBorder="1" applyAlignment="1">
      <alignment wrapText="1"/>
    </xf>
    <xf numFmtId="2" fontId="2" fillId="0" borderId="61" xfId="0" applyNumberFormat="1" applyFont="1" applyBorder="1" applyAlignment="1">
      <alignment wrapText="1"/>
    </xf>
    <xf numFmtId="2" fontId="5" fillId="0" borderId="0" xfId="0" applyNumberFormat="1" applyFont="1"/>
    <xf numFmtId="0" fontId="3" fillId="0" borderId="39" xfId="0" applyFont="1" applyBorder="1" applyAlignment="1">
      <alignment wrapText="1"/>
    </xf>
    <xf numFmtId="2" fontId="5" fillId="0" borderId="39" xfId="0" applyNumberFormat="1" applyFont="1" applyBorder="1"/>
    <xf numFmtId="0" fontId="3" fillId="0" borderId="31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2" fontId="5" fillId="0" borderId="12" xfId="0" applyNumberFormat="1" applyFont="1" applyBorder="1"/>
    <xf numFmtId="0" fontId="2" fillId="0" borderId="12" xfId="0" applyFont="1" applyBorder="1" applyAlignment="1">
      <alignment wrapText="1"/>
    </xf>
    <xf numFmtId="10" fontId="4" fillId="0" borderId="79" xfId="0" applyNumberFormat="1" applyFont="1" applyBorder="1"/>
    <xf numFmtId="0" fontId="2" fillId="0" borderId="31" xfId="0" applyFont="1" applyBorder="1" applyAlignment="1">
      <alignment wrapText="1"/>
    </xf>
    <xf numFmtId="10" fontId="4" fillId="0" borderId="44" xfId="0" applyNumberFormat="1" applyFont="1" applyBorder="1"/>
    <xf numFmtId="0" fontId="7" fillId="0" borderId="4" xfId="0" applyFont="1" applyBorder="1"/>
    <xf numFmtId="2" fontId="2" fillId="0" borderId="53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2" fillId="0" borderId="50" xfId="0" applyNumberFormat="1" applyFont="1" applyBorder="1" applyAlignment="1">
      <alignment wrapText="1"/>
    </xf>
    <xf numFmtId="2" fontId="3" fillId="0" borderId="62" xfId="0" applyNumberFormat="1" applyFont="1" applyBorder="1" applyAlignment="1">
      <alignment wrapText="1"/>
    </xf>
    <xf numFmtId="0" fontId="3" fillId="0" borderId="84" xfId="0" applyFont="1" applyBorder="1" applyAlignment="1">
      <alignment wrapText="1"/>
    </xf>
    <xf numFmtId="0" fontId="2" fillId="0" borderId="50" xfId="0" applyFont="1" applyBorder="1" applyAlignment="1">
      <alignment wrapText="1"/>
    </xf>
    <xf numFmtId="2" fontId="3" fillId="0" borderId="31" xfId="0" applyNumberFormat="1" applyFont="1" applyBorder="1" applyAlignment="1">
      <alignment wrapText="1"/>
    </xf>
    <xf numFmtId="2" fontId="2" fillId="0" borderId="63" xfId="0" applyNumberFormat="1" applyFont="1" applyBorder="1" applyAlignment="1">
      <alignment wrapText="1"/>
    </xf>
    <xf numFmtId="10" fontId="5" fillId="0" borderId="10" xfId="0" applyNumberFormat="1" applyFont="1" applyBorder="1"/>
    <xf numFmtId="0" fontId="3" fillId="0" borderId="99" xfId="0" applyFont="1" applyBorder="1" applyAlignment="1">
      <alignment wrapText="1"/>
    </xf>
    <xf numFmtId="10" fontId="5" fillId="0" borderId="44" xfId="0" applyNumberFormat="1" applyFont="1" applyBorder="1"/>
    <xf numFmtId="0" fontId="2" fillId="0" borderId="99" xfId="0" applyFont="1" applyBorder="1" applyAlignment="1">
      <alignment wrapText="1"/>
    </xf>
    <xf numFmtId="2" fontId="4" fillId="0" borderId="47" xfId="0" applyNumberFormat="1" applyFont="1" applyBorder="1"/>
    <xf numFmtId="2" fontId="0" fillId="0" borderId="0" xfId="0" applyNumberFormat="1"/>
    <xf numFmtId="0" fontId="9" fillId="0" borderId="0" xfId="3"/>
    <xf numFmtId="10" fontId="5" fillId="0" borderId="57" xfId="0" applyNumberFormat="1" applyFont="1" applyBorder="1"/>
    <xf numFmtId="2" fontId="5" fillId="0" borderId="102" xfId="0" applyNumberFormat="1" applyFont="1" applyBorder="1"/>
    <xf numFmtId="2" fontId="5" fillId="0" borderId="42" xfId="0" applyNumberFormat="1" applyFont="1" applyBorder="1"/>
    <xf numFmtId="2" fontId="4" fillId="0" borderId="77" xfId="0" applyNumberFormat="1" applyFont="1" applyBorder="1"/>
    <xf numFmtId="2" fontId="5" fillId="0" borderId="9" xfId="0" applyNumberFormat="1" applyFont="1" applyBorder="1"/>
    <xf numFmtId="2" fontId="5" fillId="0" borderId="28" xfId="0" applyNumberFormat="1" applyFont="1" applyBorder="1"/>
    <xf numFmtId="2" fontId="4" fillId="0" borderId="48" xfId="0" applyNumberFormat="1" applyFont="1" applyBorder="1"/>
    <xf numFmtId="2" fontId="5" fillId="0" borderId="18" xfId="0" applyNumberFormat="1" applyFont="1" applyBorder="1"/>
    <xf numFmtId="2" fontId="5" fillId="0" borderId="56" xfId="0" applyNumberFormat="1" applyFont="1" applyBorder="1"/>
    <xf numFmtId="2" fontId="4" fillId="0" borderId="1" xfId="0" applyNumberFormat="1" applyFont="1" applyBorder="1"/>
    <xf numFmtId="2" fontId="4" fillId="0" borderId="3" xfId="0" applyNumberFormat="1" applyFont="1" applyBorder="1"/>
    <xf numFmtId="2" fontId="4" fillId="0" borderId="18" xfId="0" applyNumberFormat="1" applyFont="1" applyBorder="1"/>
    <xf numFmtId="10" fontId="3" fillId="0" borderId="57" xfId="1" applyNumberFormat="1" applyFont="1" applyFill="1" applyBorder="1" applyAlignment="1">
      <alignment wrapText="1"/>
    </xf>
    <xf numFmtId="10" fontId="3" fillId="0" borderId="44" xfId="1" applyNumberFormat="1" applyFont="1" applyFill="1" applyBorder="1" applyAlignment="1">
      <alignment wrapText="1"/>
    </xf>
    <xf numFmtId="10" fontId="2" fillId="0" borderId="51" xfId="1" applyNumberFormat="1" applyFont="1" applyFill="1" applyBorder="1" applyAlignment="1">
      <alignment wrapText="1"/>
    </xf>
    <xf numFmtId="10" fontId="3" fillId="0" borderId="29" xfId="1" applyNumberFormat="1" applyFont="1" applyFill="1" applyBorder="1" applyAlignment="1">
      <alignment wrapText="1"/>
    </xf>
    <xf numFmtId="10" fontId="2" fillId="0" borderId="100" xfId="1" applyNumberFormat="1" applyFont="1" applyFill="1" applyBorder="1" applyAlignment="1">
      <alignment wrapText="1"/>
    </xf>
    <xf numFmtId="10" fontId="3" fillId="0" borderId="79" xfId="1" applyNumberFormat="1" applyFont="1" applyFill="1" applyBorder="1" applyAlignment="1">
      <alignment wrapText="1"/>
    </xf>
    <xf numFmtId="10" fontId="3" fillId="0" borderId="19" xfId="1" applyNumberFormat="1" applyFont="1" applyFill="1" applyBorder="1" applyAlignment="1">
      <alignment wrapText="1"/>
    </xf>
    <xf numFmtId="10" fontId="3" fillId="0" borderId="98" xfId="1" applyNumberFormat="1" applyFont="1" applyFill="1" applyBorder="1" applyAlignment="1">
      <alignment wrapText="1"/>
    </xf>
    <xf numFmtId="10" fontId="3" fillId="0" borderId="82" xfId="1" applyNumberFormat="1" applyFont="1" applyFill="1" applyBorder="1" applyAlignment="1">
      <alignment wrapText="1"/>
    </xf>
    <xf numFmtId="10" fontId="3" fillId="0" borderId="80" xfId="1" applyNumberFormat="1" applyFont="1" applyFill="1" applyBorder="1" applyAlignment="1">
      <alignment wrapText="1"/>
    </xf>
    <xf numFmtId="10" fontId="2" fillId="0" borderId="57" xfId="1" applyNumberFormat="1" applyFont="1" applyFill="1" applyBorder="1" applyAlignment="1">
      <alignment wrapText="1"/>
    </xf>
    <xf numFmtId="10" fontId="2" fillId="0" borderId="89" xfId="1" applyNumberFormat="1" applyFont="1" applyFill="1" applyBorder="1" applyAlignment="1">
      <alignment wrapText="1"/>
    </xf>
    <xf numFmtId="0" fontId="4" fillId="0" borderId="2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64" fontId="0" fillId="0" borderId="0" xfId="0" applyNumberFormat="1"/>
    <xf numFmtId="2" fontId="5" fillId="0" borderId="81" xfId="0" applyNumberFormat="1" applyFont="1" applyBorder="1"/>
    <xf numFmtId="2" fontId="5" fillId="0" borderId="104" xfId="0" applyNumberFormat="1" applyFont="1" applyBorder="1"/>
    <xf numFmtId="0" fontId="4" fillId="0" borderId="76" xfId="0" applyFont="1" applyBorder="1"/>
    <xf numFmtId="0" fontId="4" fillId="0" borderId="95" xfId="0" applyFont="1" applyBorder="1"/>
    <xf numFmtId="0" fontId="5" fillId="0" borderId="13" xfId="0" applyFont="1" applyBorder="1"/>
    <xf numFmtId="0" fontId="5" fillId="0" borderId="22" xfId="0" applyFont="1" applyBorder="1"/>
    <xf numFmtId="0" fontId="5" fillId="0" borderId="9" xfId="0" applyFont="1" applyBorder="1"/>
    <xf numFmtId="0" fontId="4" fillId="0" borderId="77" xfId="0" applyFont="1" applyBorder="1"/>
    <xf numFmtId="0" fontId="4" fillId="0" borderId="96" xfId="0" applyFont="1" applyBorder="1"/>
    <xf numFmtId="0" fontId="5" fillId="0" borderId="28" xfId="0" applyFont="1" applyBorder="1"/>
    <xf numFmtId="2" fontId="5" fillId="0" borderId="47" xfId="0" applyNumberFormat="1" applyFont="1" applyBorder="1"/>
    <xf numFmtId="164" fontId="5" fillId="0" borderId="79" xfId="0" applyNumberFormat="1" applyFont="1" applyBorder="1"/>
    <xf numFmtId="164" fontId="5" fillId="0" borderId="105" xfId="0" applyNumberFormat="1" applyFont="1" applyBorder="1"/>
    <xf numFmtId="164" fontId="5" fillId="0" borderId="72" xfId="0" applyNumberFormat="1" applyFont="1" applyBorder="1"/>
    <xf numFmtId="164" fontId="5" fillId="0" borderId="72" xfId="0" applyNumberFormat="1" applyFont="1" applyBorder="1" applyAlignment="1">
      <alignment horizontal="right"/>
    </xf>
    <xf numFmtId="164" fontId="4" fillId="0" borderId="100" xfId="0" applyNumberFormat="1" applyFont="1" applyBorder="1"/>
    <xf numFmtId="164" fontId="4" fillId="0" borderId="90" xfId="0" applyNumberFormat="1" applyFont="1" applyBorder="1"/>
    <xf numFmtId="164" fontId="4" fillId="0" borderId="73" xfId="0" applyNumberFormat="1" applyFont="1" applyBorder="1"/>
    <xf numFmtId="0" fontId="5" fillId="0" borderId="38" xfId="0" applyFont="1" applyBorder="1"/>
    <xf numFmtId="164" fontId="5" fillId="0" borderId="106" xfId="0" applyNumberFormat="1" applyFont="1" applyBorder="1"/>
    <xf numFmtId="164" fontId="5" fillId="0" borderId="44" xfId="0" applyNumberFormat="1" applyFont="1" applyBorder="1" applyAlignment="1">
      <alignment horizontal="right"/>
    </xf>
    <xf numFmtId="164" fontId="5" fillId="0" borderId="44" xfId="0" applyNumberFormat="1" applyFont="1" applyBorder="1"/>
    <xf numFmtId="0" fontId="5" fillId="0" borderId="18" xfId="0" applyFont="1" applyBorder="1"/>
    <xf numFmtId="164" fontId="5" fillId="0" borderId="80" xfId="0" applyNumberFormat="1" applyFont="1" applyBorder="1"/>
    <xf numFmtId="2" fontId="5" fillId="0" borderId="21" xfId="0" applyNumberFormat="1" applyFont="1" applyBorder="1"/>
    <xf numFmtId="0" fontId="5" fillId="0" borderId="63" xfId="0" applyFont="1" applyBorder="1"/>
    <xf numFmtId="164" fontId="5" fillId="0" borderId="80" xfId="0" applyNumberFormat="1" applyFont="1" applyBorder="1" applyAlignment="1">
      <alignment horizontal="right"/>
    </xf>
    <xf numFmtId="0" fontId="5" fillId="0" borderId="61" xfId="0" applyFont="1" applyBorder="1"/>
    <xf numFmtId="164" fontId="5" fillId="0" borderId="98" xfId="0" applyNumberFormat="1" applyFont="1" applyBorder="1"/>
    <xf numFmtId="0" fontId="0" fillId="0" borderId="2" xfId="0" applyBorder="1"/>
    <xf numFmtId="0" fontId="0" fillId="0" borderId="15" xfId="0" applyBorder="1"/>
    <xf numFmtId="10" fontId="3" fillId="0" borderId="10" xfId="1" applyNumberFormat="1" applyFont="1" applyFill="1" applyBorder="1" applyAlignment="1">
      <alignment horizontal="right" wrapText="1"/>
    </xf>
    <xf numFmtId="2" fontId="3" fillId="0" borderId="12" xfId="0" applyNumberFormat="1" applyFont="1" applyBorder="1" applyAlignment="1">
      <alignment horizontal="right" wrapText="1"/>
    </xf>
    <xf numFmtId="10" fontId="3" fillId="0" borderId="20" xfId="1" applyNumberFormat="1" applyFont="1" applyFill="1" applyBorder="1" applyAlignment="1">
      <alignment horizontal="right" wrapText="1"/>
    </xf>
    <xf numFmtId="2" fontId="3" fillId="0" borderId="21" xfId="0" applyNumberFormat="1" applyFont="1" applyBorder="1" applyAlignment="1">
      <alignment horizontal="right" wrapText="1"/>
    </xf>
    <xf numFmtId="10" fontId="2" fillId="0" borderId="100" xfId="1" applyNumberFormat="1" applyFont="1" applyFill="1" applyBorder="1" applyAlignment="1">
      <alignment horizontal="right" wrapText="1"/>
    </xf>
    <xf numFmtId="2" fontId="2" fillId="0" borderId="50" xfId="0" applyNumberFormat="1" applyFont="1" applyBorder="1" applyAlignment="1">
      <alignment horizontal="right" wrapText="1"/>
    </xf>
    <xf numFmtId="10" fontId="3" fillId="0" borderId="57" xfId="1" applyNumberFormat="1" applyFont="1" applyFill="1" applyBorder="1" applyAlignment="1">
      <alignment horizontal="right" wrapText="1"/>
    </xf>
    <xf numFmtId="2" fontId="5" fillId="0" borderId="12" xfId="0" applyNumberFormat="1" applyFont="1" applyBorder="1" applyAlignment="1">
      <alignment horizontal="right"/>
    </xf>
    <xf numFmtId="10" fontId="3" fillId="0" borderId="44" xfId="1" applyNumberFormat="1" applyFont="1" applyFill="1" applyBorder="1" applyAlignment="1">
      <alignment horizontal="right" wrapText="1"/>
    </xf>
    <xf numFmtId="2" fontId="5" fillId="0" borderId="31" xfId="0" applyNumberFormat="1" applyFont="1" applyBorder="1" applyAlignment="1">
      <alignment horizontal="right"/>
    </xf>
    <xf numFmtId="0" fontId="4" fillId="0" borderId="107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2" fontId="4" fillId="0" borderId="92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/>
    </xf>
    <xf numFmtId="0" fontId="3" fillId="0" borderId="14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3" fillId="0" borderId="84" xfId="0" applyNumberFormat="1" applyFont="1" applyBorder="1" applyAlignment="1">
      <alignment horizontal="center"/>
    </xf>
    <xf numFmtId="0" fontId="3" fillId="0" borderId="8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42" xfId="0" applyNumberFormat="1" applyFont="1" applyBorder="1" applyAlignment="1">
      <alignment horizontal="center"/>
    </xf>
    <xf numFmtId="3" fontId="2" fillId="0" borderId="10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2" fontId="5" fillId="0" borderId="13" xfId="0" applyNumberFormat="1" applyFont="1" applyBorder="1"/>
    <xf numFmtId="2" fontId="5" fillId="0" borderId="38" xfId="0" applyNumberFormat="1" applyFont="1" applyBorder="1"/>
    <xf numFmtId="2" fontId="5" fillId="0" borderId="22" xfId="0" applyNumberFormat="1" applyFont="1" applyBorder="1"/>
    <xf numFmtId="0" fontId="4" fillId="0" borderId="4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center"/>
    </xf>
    <xf numFmtId="49" fontId="2" fillId="0" borderId="76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4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7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4" fillId="2" borderId="93" xfId="0" applyFont="1" applyFill="1" applyBorder="1" applyAlignment="1">
      <alignment horizontal="center"/>
    </xf>
    <xf numFmtId="0" fontId="4" fillId="2" borderId="94" xfId="0" applyFont="1" applyFill="1" applyBorder="1" applyAlignment="1">
      <alignment horizontal="center"/>
    </xf>
    <xf numFmtId="0" fontId="4" fillId="2" borderId="95" xfId="0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4" fillId="2" borderId="9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32" xfId="2" xr:uid="{86ED4071-2CB4-4ED5-A557-0987F7B0B3C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3</xdr:row>
      <xdr:rowOff>76200</xdr:rowOff>
    </xdr:from>
    <xdr:to>
      <xdr:col>13</xdr:col>
      <xdr:colOff>550375</xdr:colOff>
      <xdr:row>16</xdr:row>
      <xdr:rowOff>130175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2B0D4B-521B-47E6-8B06-A10C163BE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4800" y="457200"/>
          <a:ext cx="4769950" cy="3019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.powerbi.com/view?r=eyJrIjoiNzBkZmI0YjYtYThjYi00OWY0LTllZjgtNTk1NTNjNjRmYTMxIiwidCI6ImNkZjIwZmQ4LTUzYzgtNDA5ZC1hZDViLTM4NDVmNjJiYWY2ZCIsImMiOjJ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1EFD-B0E5-4C9D-9310-95FA70DB664F}">
  <dimension ref="A2:H38"/>
  <sheetViews>
    <sheetView tabSelected="1" workbookViewId="0">
      <selection activeCell="E17" sqref="E17"/>
    </sheetView>
  </sheetViews>
  <sheetFormatPr defaultRowHeight="15" x14ac:dyDescent="0.25"/>
  <cols>
    <col min="1" max="1" width="49.7109375" customWidth="1"/>
    <col min="2" max="2" width="15.85546875" customWidth="1"/>
    <col min="3" max="3" width="34.28515625" customWidth="1"/>
    <col min="4" max="4" width="21.42578125" customWidth="1"/>
    <col min="5" max="5" width="25.85546875" customWidth="1"/>
  </cols>
  <sheetData>
    <row r="2" spans="1:6" ht="15.75" thickBot="1" x14ac:dyDescent="0.3">
      <c r="A2" s="203" t="s">
        <v>0</v>
      </c>
      <c r="C2" s="309"/>
    </row>
    <row r="3" spans="1:6" ht="15.75" thickBot="1" x14ac:dyDescent="0.3">
      <c r="A3" s="343" t="s">
        <v>1</v>
      </c>
      <c r="B3" s="345" t="s">
        <v>2</v>
      </c>
      <c r="C3" s="345" t="s">
        <v>3</v>
      </c>
      <c r="D3" s="341" t="s">
        <v>4</v>
      </c>
      <c r="E3" s="342"/>
      <c r="F3" s="310"/>
    </row>
    <row r="4" spans="1:6" ht="45.75" customHeight="1" thickBot="1" x14ac:dyDescent="0.3">
      <c r="A4" s="344"/>
      <c r="B4" s="346"/>
      <c r="C4" s="346"/>
      <c r="D4" s="278" t="s">
        <v>5</v>
      </c>
      <c r="E4" s="324" t="s">
        <v>6</v>
      </c>
    </row>
    <row r="5" spans="1:6" x14ac:dyDescent="0.25">
      <c r="A5" s="286" t="s">
        <v>7</v>
      </c>
      <c r="B5" s="286" t="s">
        <v>8</v>
      </c>
      <c r="C5" s="284">
        <v>274.05</v>
      </c>
      <c r="D5" s="291">
        <v>7.0000000000000007E-2</v>
      </c>
      <c r="E5" s="280">
        <f>C5*7%</f>
        <v>19.183500000000002</v>
      </c>
    </row>
    <row r="6" spans="1:6" ht="15.75" thickBot="1" x14ac:dyDescent="0.3">
      <c r="A6" s="285" t="s">
        <v>7</v>
      </c>
      <c r="B6" s="285" t="s">
        <v>9</v>
      </c>
      <c r="C6" s="289">
        <v>13.83</v>
      </c>
      <c r="D6" s="292">
        <v>7.0000000000000007E-2</v>
      </c>
      <c r="E6" s="290">
        <f>C6*7%</f>
        <v>0.96810000000000007</v>
      </c>
    </row>
    <row r="7" spans="1:6" ht="15.75" thickTop="1" x14ac:dyDescent="0.25">
      <c r="A7" s="284" t="s">
        <v>10</v>
      </c>
      <c r="B7" s="298" t="s">
        <v>8</v>
      </c>
      <c r="C7" s="284">
        <v>35.58</v>
      </c>
      <c r="D7" s="299">
        <v>3.5000000000000003E-2</v>
      </c>
      <c r="E7" s="280">
        <f>C7*3.5%</f>
        <v>1.2453000000000001</v>
      </c>
    </row>
    <row r="8" spans="1:6" ht="15.75" thickBot="1" x14ac:dyDescent="0.3">
      <c r="A8" s="289" t="s">
        <v>10</v>
      </c>
      <c r="B8" s="285" t="s">
        <v>9</v>
      </c>
      <c r="C8" s="289">
        <v>10.84</v>
      </c>
      <c r="D8" s="292">
        <v>3.5000000000000003E-2</v>
      </c>
      <c r="E8" s="210">
        <f>C8*3.5%</f>
        <v>0.37940000000000002</v>
      </c>
    </row>
    <row r="9" spans="1:6" ht="15.75" thickTop="1" x14ac:dyDescent="0.25">
      <c r="A9" s="298" t="s">
        <v>11</v>
      </c>
      <c r="B9" s="298" t="s">
        <v>8</v>
      </c>
      <c r="C9" s="336">
        <v>63.9</v>
      </c>
      <c r="D9" s="294" t="s">
        <v>12</v>
      </c>
      <c r="E9" s="228">
        <v>11.86</v>
      </c>
      <c r="F9" t="s">
        <v>13</v>
      </c>
    </row>
    <row r="10" spans="1:6" ht="15.75" thickBot="1" x14ac:dyDescent="0.3">
      <c r="A10" s="285" t="s">
        <v>11</v>
      </c>
      <c r="B10" s="285" t="s">
        <v>9</v>
      </c>
      <c r="C10" s="289">
        <v>111.5</v>
      </c>
      <c r="D10" s="300" t="s">
        <v>12</v>
      </c>
      <c r="E10" s="281">
        <v>18.309999999999999</v>
      </c>
      <c r="F10" t="s">
        <v>13</v>
      </c>
    </row>
    <row r="11" spans="1:6" ht="15.75" thickTop="1" x14ac:dyDescent="0.25">
      <c r="A11" s="298" t="s">
        <v>14</v>
      </c>
      <c r="B11" s="298" t="s">
        <v>8</v>
      </c>
      <c r="C11" s="298">
        <v>26.28</v>
      </c>
      <c r="D11" s="293">
        <v>4.7E-2</v>
      </c>
      <c r="E11" s="280">
        <f>C11*4.7%</f>
        <v>1.23516</v>
      </c>
    </row>
    <row r="12" spans="1:6" ht="15.75" thickBot="1" x14ac:dyDescent="0.3">
      <c r="A12" s="285" t="s">
        <v>14</v>
      </c>
      <c r="B12" s="285" t="s">
        <v>9</v>
      </c>
      <c r="C12" s="285">
        <v>3.17</v>
      </c>
      <c r="D12" s="301">
        <v>4.7E-2</v>
      </c>
      <c r="E12" s="210">
        <f>C12*4.7%</f>
        <v>0.14898999999999998</v>
      </c>
    </row>
    <row r="13" spans="1:6" ht="15.75" thickTop="1" x14ac:dyDescent="0.25">
      <c r="A13" s="298" t="s">
        <v>15</v>
      </c>
      <c r="B13" s="298" t="s">
        <v>8</v>
      </c>
      <c r="C13" s="337">
        <v>84.6</v>
      </c>
      <c r="D13" s="299">
        <v>2.1999999999999999E-2</v>
      </c>
      <c r="E13" s="280">
        <f>C13*2.2%</f>
        <v>1.8612</v>
      </c>
    </row>
    <row r="14" spans="1:6" ht="15.75" thickBot="1" x14ac:dyDescent="0.3">
      <c r="A14" s="285" t="s">
        <v>15</v>
      </c>
      <c r="B14" s="285" t="s">
        <v>9</v>
      </c>
      <c r="C14" s="338">
        <v>46.8</v>
      </c>
      <c r="D14" s="292">
        <v>2.1999999999999999E-2</v>
      </c>
      <c r="E14" s="210">
        <f>C14*2.2%</f>
        <v>1.0296000000000001</v>
      </c>
    </row>
    <row r="15" spans="1:6" ht="15.75" thickTop="1" x14ac:dyDescent="0.25">
      <c r="A15" s="284" t="s">
        <v>16</v>
      </c>
      <c r="B15" s="298" t="s">
        <v>8</v>
      </c>
      <c r="C15" s="298">
        <v>25.76</v>
      </c>
      <c r="D15" s="299">
        <v>0.13800000000000001</v>
      </c>
      <c r="E15" s="228">
        <f>C15*13.8%</f>
        <v>3.5548800000000007</v>
      </c>
    </row>
    <row r="16" spans="1:6" ht="15.75" thickBot="1" x14ac:dyDescent="0.3">
      <c r="A16" s="289" t="s">
        <v>16</v>
      </c>
      <c r="B16" s="285" t="s">
        <v>9</v>
      </c>
      <c r="C16" s="285">
        <v>2.0499999999999998</v>
      </c>
      <c r="D16" s="292">
        <v>0.13800000000000001</v>
      </c>
      <c r="E16" s="281">
        <f>C16*13.8%</f>
        <v>0.28289999999999998</v>
      </c>
    </row>
    <row r="17" spans="1:8" ht="16.5" thickTop="1" thickBot="1" x14ac:dyDescent="0.3">
      <c r="A17" s="351" t="s">
        <v>17</v>
      </c>
      <c r="B17" s="352"/>
      <c r="C17" s="287">
        <f>SUMIF($B5:$B16,"SJRWMD",C5:C16)</f>
        <v>510.16999999999996</v>
      </c>
      <c r="D17" s="295">
        <f>ROUND(SUMIF($B5:$B16,"SJRWMD",D5:D16),2)</f>
        <v>0.31</v>
      </c>
      <c r="E17" s="282">
        <f>ROUND(SUMIF($B5:$B16,"SJRWMD",E5:E16),2)</f>
        <v>38.94</v>
      </c>
    </row>
    <row r="18" spans="1:8" ht="15.75" thickBot="1" x14ac:dyDescent="0.3">
      <c r="A18" s="341" t="s">
        <v>18</v>
      </c>
      <c r="B18" s="342"/>
      <c r="C18" s="288">
        <f>SUMIF($B5:$B16,"SRWMD",C5:C16)</f>
        <v>188.19</v>
      </c>
      <c r="D18" s="296">
        <f>ROUND(SUMIF($B5:$B16,"SRWMD",D5:D16),2)</f>
        <v>0.31</v>
      </c>
      <c r="E18" s="283">
        <f>ROUND(SUMIF($B5:$B16,"SRWMD",E5:E16),2)</f>
        <v>21.12</v>
      </c>
    </row>
    <row r="19" spans="1:8" ht="15.75" thickBot="1" x14ac:dyDescent="0.3">
      <c r="A19" s="339" t="s">
        <v>19</v>
      </c>
      <c r="B19" s="340"/>
      <c r="C19" s="288">
        <f>SUM(C17:C18)</f>
        <v>698.3599999999999</v>
      </c>
      <c r="D19" s="297">
        <f>SUM(D17:D18)</f>
        <v>0.62</v>
      </c>
      <c r="E19" s="262">
        <f>SUM(E17:E18)</f>
        <v>60.06</v>
      </c>
    </row>
    <row r="20" spans="1:8" x14ac:dyDescent="0.25">
      <c r="A20" s="148" t="s">
        <v>20</v>
      </c>
      <c r="D20" s="279"/>
      <c r="E20" s="251"/>
    </row>
    <row r="21" spans="1:8" x14ac:dyDescent="0.25">
      <c r="A21" s="6" t="s">
        <v>21</v>
      </c>
      <c r="D21" s="279"/>
      <c r="E21" s="251"/>
    </row>
    <row r="22" spans="1:8" x14ac:dyDescent="0.25">
      <c r="A22" s="6" t="s">
        <v>22</v>
      </c>
      <c r="D22" s="279"/>
      <c r="E22" s="251"/>
    </row>
    <row r="23" spans="1:8" x14ac:dyDescent="0.25">
      <c r="A23" s="6" t="s">
        <v>225</v>
      </c>
      <c r="D23" s="279"/>
      <c r="E23" s="251"/>
    </row>
    <row r="24" spans="1:8" x14ac:dyDescent="0.25">
      <c r="D24" s="279"/>
      <c r="E24" s="251"/>
    </row>
    <row r="25" spans="1:8" ht="15.75" thickBot="1" x14ac:dyDescent="0.3">
      <c r="A25" s="203" t="s">
        <v>23</v>
      </c>
      <c r="C25" s="309"/>
      <c r="D25" s="279"/>
      <c r="E25" s="251"/>
      <c r="H25" t="s">
        <v>24</v>
      </c>
    </row>
    <row r="26" spans="1:8" ht="15.75" thickBot="1" x14ac:dyDescent="0.3">
      <c r="A26" s="343" t="s">
        <v>1</v>
      </c>
      <c r="B26" s="349" t="s">
        <v>2</v>
      </c>
      <c r="C26" s="345" t="s">
        <v>25</v>
      </c>
      <c r="D26" s="347" t="s">
        <v>4</v>
      </c>
      <c r="E26" s="348"/>
      <c r="F26" s="310"/>
      <c r="G26" t="s">
        <v>13</v>
      </c>
      <c r="H26" s="252" t="s">
        <v>26</v>
      </c>
    </row>
    <row r="27" spans="1:8" ht="51" customHeight="1" thickBot="1" x14ac:dyDescent="0.3">
      <c r="A27" s="344"/>
      <c r="B27" s="350"/>
      <c r="C27" s="346"/>
      <c r="D27" s="322" t="s">
        <v>5</v>
      </c>
      <c r="E27" s="325" t="s">
        <v>6</v>
      </c>
    </row>
    <row r="28" spans="1:8" x14ac:dyDescent="0.25">
      <c r="A28" s="286" t="s">
        <v>7</v>
      </c>
      <c r="B28" s="307" t="s">
        <v>9</v>
      </c>
      <c r="C28" s="307">
        <v>5.08</v>
      </c>
      <c r="D28" s="308">
        <v>7.0000000000000007E-2</v>
      </c>
      <c r="E28" s="206">
        <f>C28*7%</f>
        <v>0.35560000000000003</v>
      </c>
    </row>
    <row r="29" spans="1:8" x14ac:dyDescent="0.25">
      <c r="A29" s="302" t="s">
        <v>10</v>
      </c>
      <c r="B29" s="302" t="s">
        <v>9</v>
      </c>
      <c r="C29" s="284">
        <v>4.49</v>
      </c>
      <c r="D29" s="303">
        <v>3.5000000000000003E-2</v>
      </c>
      <c r="E29" s="280">
        <f>C29*3.5%</f>
        <v>0.15715000000000001</v>
      </c>
    </row>
    <row r="30" spans="1:8" x14ac:dyDescent="0.25">
      <c r="A30" s="284" t="s">
        <v>11</v>
      </c>
      <c r="B30" s="284" t="s">
        <v>9</v>
      </c>
      <c r="C30" s="305">
        <v>74.27</v>
      </c>
      <c r="D30" s="306" t="s">
        <v>12</v>
      </c>
      <c r="E30" s="304">
        <v>11.79</v>
      </c>
      <c r="F30" t="s">
        <v>13</v>
      </c>
    </row>
    <row r="31" spans="1:8" x14ac:dyDescent="0.25">
      <c r="A31" s="302" t="s">
        <v>14</v>
      </c>
      <c r="B31" s="302" t="s">
        <v>9</v>
      </c>
      <c r="C31" s="302">
        <v>1.22</v>
      </c>
      <c r="D31" s="303">
        <v>4.7E-2</v>
      </c>
      <c r="E31" s="255">
        <f>C31*4.7%</f>
        <v>5.7340000000000002E-2</v>
      </c>
    </row>
    <row r="32" spans="1:8" x14ac:dyDescent="0.25">
      <c r="A32" s="284" t="s">
        <v>15</v>
      </c>
      <c r="B32" s="284" t="s">
        <v>9</v>
      </c>
      <c r="C32" s="302">
        <v>41.75</v>
      </c>
      <c r="D32" s="303">
        <v>2.1999999999999999E-2</v>
      </c>
      <c r="E32" s="255">
        <f>C32*2.2%</f>
        <v>0.91850000000000009</v>
      </c>
    </row>
    <row r="33" spans="1:5" ht="15.75" thickBot="1" x14ac:dyDescent="0.3">
      <c r="A33" s="289" t="s">
        <v>16</v>
      </c>
      <c r="B33" s="289" t="s">
        <v>9</v>
      </c>
      <c r="C33" s="338">
        <v>0</v>
      </c>
      <c r="D33" s="292">
        <v>0.13800000000000001</v>
      </c>
      <c r="E33" s="281">
        <f>C33*13.8%</f>
        <v>0</v>
      </c>
    </row>
    <row r="34" spans="1:5" ht="16.5" thickTop="1" thickBot="1" x14ac:dyDescent="0.3">
      <c r="A34" s="339" t="s">
        <v>27</v>
      </c>
      <c r="B34" s="340"/>
      <c r="C34" s="287">
        <f>SUMIF($B28:$B33,"SRWMD",C28:C33)</f>
        <v>126.81</v>
      </c>
      <c r="D34" s="297">
        <f>SUMIF($B28:$B33,"SRWMD",D28:D33)</f>
        <v>0.31200000000000006</v>
      </c>
      <c r="E34" s="262">
        <f>SUMIF($B28:$B33,"SRWMD",E28:E33)</f>
        <v>13.278589999999999</v>
      </c>
    </row>
    <row r="35" spans="1:5" x14ac:dyDescent="0.25">
      <c r="A35" s="148" t="s">
        <v>20</v>
      </c>
    </row>
    <row r="36" spans="1:5" x14ac:dyDescent="0.25">
      <c r="A36" s="6" t="s">
        <v>21</v>
      </c>
    </row>
    <row r="37" spans="1:5" x14ac:dyDescent="0.25">
      <c r="A37" s="6" t="s">
        <v>22</v>
      </c>
    </row>
    <row r="38" spans="1:5" x14ac:dyDescent="0.25">
      <c r="A38" s="6" t="s">
        <v>225</v>
      </c>
    </row>
  </sheetData>
  <mergeCells count="12">
    <mergeCell ref="A34:B34"/>
    <mergeCell ref="D3:E3"/>
    <mergeCell ref="A3:A4"/>
    <mergeCell ref="B3:B4"/>
    <mergeCell ref="C3:C4"/>
    <mergeCell ref="D26:E26"/>
    <mergeCell ref="A26:A27"/>
    <mergeCell ref="B26:B27"/>
    <mergeCell ref="C26:C27"/>
    <mergeCell ref="A17:B17"/>
    <mergeCell ref="A18:B18"/>
    <mergeCell ref="A19:B19"/>
  </mergeCells>
  <hyperlinks>
    <hyperlink ref="H26" r:id="rId1" xr:uid="{2EC37515-3405-4B34-BEB4-72D9F694E276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772A9-64E9-403D-9648-7F6AF2C6BDBB}">
  <sheetPr>
    <pageSetUpPr fitToPage="1"/>
  </sheetPr>
  <dimension ref="A1:N159"/>
  <sheetViews>
    <sheetView workbookViewId="0">
      <selection activeCell="E6" sqref="E6"/>
    </sheetView>
  </sheetViews>
  <sheetFormatPr defaultRowHeight="12.75" x14ac:dyDescent="0.2"/>
  <cols>
    <col min="1" max="1" width="13.28515625" style="6" customWidth="1"/>
    <col min="2" max="2" width="52.42578125" style="6" customWidth="1"/>
    <col min="3" max="3" width="22.7109375" style="6" customWidth="1"/>
    <col min="4" max="5" width="15.42578125" style="6" customWidth="1"/>
    <col min="6" max="6" width="15.42578125" style="5" customWidth="1"/>
    <col min="7" max="7" width="16" style="5" customWidth="1"/>
    <col min="8" max="8" width="29.140625" style="6" customWidth="1"/>
    <col min="9" max="9" width="13.42578125" style="6" customWidth="1"/>
    <col min="10" max="10" width="17.42578125" style="6" customWidth="1"/>
    <col min="11" max="11" width="12.7109375" style="6" customWidth="1"/>
    <col min="12" max="16384" width="9.140625" style="6"/>
  </cols>
  <sheetData>
    <row r="1" spans="1:14" ht="13.5" thickBot="1" x14ac:dyDescent="0.25">
      <c r="A1" s="1" t="s">
        <v>28</v>
      </c>
      <c r="B1" s="2"/>
      <c r="C1" s="2"/>
      <c r="D1" s="2"/>
      <c r="E1" s="3"/>
      <c r="F1" s="4"/>
    </row>
    <row r="2" spans="1:14" ht="27" customHeight="1" x14ac:dyDescent="0.2">
      <c r="A2" s="389" t="s">
        <v>29</v>
      </c>
      <c r="B2" s="392" t="s">
        <v>30</v>
      </c>
      <c r="C2" s="395" t="s">
        <v>31</v>
      </c>
      <c r="D2" s="398" t="s">
        <v>32</v>
      </c>
      <c r="E2" s="413" t="s">
        <v>33</v>
      </c>
      <c r="F2" s="374" t="s">
        <v>34</v>
      </c>
      <c r="G2" s="377" t="s">
        <v>35</v>
      </c>
      <c r="H2" s="380" t="s">
        <v>36</v>
      </c>
      <c r="I2" s="383" t="s">
        <v>37</v>
      </c>
      <c r="J2" s="386" t="s">
        <v>38</v>
      </c>
    </row>
    <row r="3" spans="1:14" ht="27" customHeight="1" x14ac:dyDescent="0.2">
      <c r="A3" s="390"/>
      <c r="B3" s="393"/>
      <c r="C3" s="396"/>
      <c r="D3" s="399"/>
      <c r="E3" s="414"/>
      <c r="F3" s="375"/>
      <c r="G3" s="378"/>
      <c r="H3" s="381"/>
      <c r="I3" s="384"/>
      <c r="J3" s="387"/>
    </row>
    <row r="4" spans="1:14" ht="27" customHeight="1" thickBot="1" x14ac:dyDescent="0.25">
      <c r="A4" s="391"/>
      <c r="B4" s="394"/>
      <c r="C4" s="397"/>
      <c r="D4" s="400"/>
      <c r="E4" s="415"/>
      <c r="F4" s="376"/>
      <c r="G4" s="379"/>
      <c r="H4" s="382"/>
      <c r="I4" s="385"/>
      <c r="J4" s="388"/>
      <c r="L4" s="6" t="s">
        <v>39</v>
      </c>
    </row>
    <row r="5" spans="1:14" ht="13.5" thickTop="1" x14ac:dyDescent="0.2">
      <c r="A5" s="353" t="s">
        <v>40</v>
      </c>
      <c r="B5" s="7" t="s">
        <v>41</v>
      </c>
      <c r="C5" s="8">
        <v>1674</v>
      </c>
      <c r="D5" s="9">
        <v>2426</v>
      </c>
      <c r="E5" s="10">
        <v>0.21</v>
      </c>
      <c r="F5" s="11">
        <v>88</v>
      </c>
      <c r="G5" s="12">
        <f>$F$90</f>
        <v>121</v>
      </c>
      <c r="H5" s="13">
        <f t="shared" ref="H5:H12" si="0">E5</f>
        <v>0.21</v>
      </c>
      <c r="I5" s="14">
        <f t="shared" ref="I5:I89" si="1">H5-E5</f>
        <v>0</v>
      </c>
      <c r="J5" s="15">
        <f t="shared" ref="J5:J89" si="2">I5/E5</f>
        <v>0</v>
      </c>
      <c r="L5" s="6" t="b">
        <f>IF(F5="N/A","N/A",F5&lt;G5)</f>
        <v>1</v>
      </c>
    </row>
    <row r="6" spans="1:14" x14ac:dyDescent="0.2">
      <c r="A6" s="354"/>
      <c r="B6" s="16" t="s">
        <v>42</v>
      </c>
      <c r="C6" s="17">
        <v>11339</v>
      </c>
      <c r="D6" s="18">
        <v>231295</v>
      </c>
      <c r="E6" s="19">
        <v>27.29</v>
      </c>
      <c r="F6" s="20">
        <v>118</v>
      </c>
      <c r="G6" s="21">
        <f>$F$90</f>
        <v>121</v>
      </c>
      <c r="H6" s="22">
        <f t="shared" si="0"/>
        <v>27.29</v>
      </c>
      <c r="I6" s="23">
        <f t="shared" si="1"/>
        <v>0</v>
      </c>
      <c r="J6" s="24">
        <f t="shared" si="2"/>
        <v>0</v>
      </c>
      <c r="L6" s="6" t="b">
        <f t="shared" ref="L6:L69" si="3">IF(F6="N/A","N/A",F6&lt;G6)</f>
        <v>1</v>
      </c>
    </row>
    <row r="7" spans="1:14" x14ac:dyDescent="0.2">
      <c r="A7" s="354"/>
      <c r="B7" s="25" t="s">
        <v>43</v>
      </c>
      <c r="C7" s="17">
        <v>11343</v>
      </c>
      <c r="D7" s="26">
        <v>654</v>
      </c>
      <c r="E7" s="19">
        <v>0.11</v>
      </c>
      <c r="F7" s="20">
        <v>161</v>
      </c>
      <c r="G7" s="21">
        <f>$F$90</f>
        <v>121</v>
      </c>
      <c r="H7" s="27">
        <f t="shared" ref="H7" si="4">D7*G7/1000000</f>
        <v>7.9133999999999996E-2</v>
      </c>
      <c r="I7" s="23">
        <f t="shared" si="1"/>
        <v>-3.0866000000000005E-2</v>
      </c>
      <c r="J7" s="24">
        <f t="shared" si="2"/>
        <v>-0.28060000000000002</v>
      </c>
      <c r="L7" s="6" t="b">
        <f t="shared" si="3"/>
        <v>0</v>
      </c>
    </row>
    <row r="8" spans="1:14" x14ac:dyDescent="0.2">
      <c r="A8" s="354"/>
      <c r="B8" s="25" t="s">
        <v>44</v>
      </c>
      <c r="C8" s="17">
        <v>11356</v>
      </c>
      <c r="D8" s="26">
        <v>1073</v>
      </c>
      <c r="E8" s="19">
        <v>0.08</v>
      </c>
      <c r="F8" s="20">
        <v>71</v>
      </c>
      <c r="G8" s="21">
        <f>$F$90</f>
        <v>121</v>
      </c>
      <c r="H8" s="22">
        <f t="shared" si="0"/>
        <v>0.08</v>
      </c>
      <c r="I8" s="23">
        <f t="shared" si="1"/>
        <v>0</v>
      </c>
      <c r="J8" s="24">
        <f t="shared" si="2"/>
        <v>0</v>
      </c>
      <c r="L8" s="6" t="b">
        <f t="shared" si="3"/>
        <v>1</v>
      </c>
    </row>
    <row r="9" spans="1:14" ht="13.5" thickBot="1" x14ac:dyDescent="0.25">
      <c r="A9" s="354"/>
      <c r="B9" s="28" t="s">
        <v>45</v>
      </c>
      <c r="C9" s="29" t="s">
        <v>46</v>
      </c>
      <c r="D9" s="30">
        <v>1227</v>
      </c>
      <c r="E9" s="31">
        <v>0.09</v>
      </c>
      <c r="F9" s="32">
        <v>74</v>
      </c>
      <c r="G9" s="33">
        <f>$F$90</f>
        <v>121</v>
      </c>
      <c r="H9" s="34">
        <f t="shared" si="0"/>
        <v>0.09</v>
      </c>
      <c r="I9" s="35">
        <f t="shared" si="1"/>
        <v>0</v>
      </c>
      <c r="J9" s="36">
        <f t="shared" si="2"/>
        <v>0</v>
      </c>
      <c r="L9" s="6" t="b">
        <f t="shared" si="3"/>
        <v>1</v>
      </c>
    </row>
    <row r="10" spans="1:14" ht="14.25" thickTop="1" thickBot="1" x14ac:dyDescent="0.25">
      <c r="A10" s="355"/>
      <c r="B10" s="362" t="s">
        <v>47</v>
      </c>
      <c r="C10" s="363"/>
      <c r="D10" s="37">
        <f>SUM(D5:D9)</f>
        <v>236675</v>
      </c>
      <c r="E10" s="38">
        <f>SUM(E5:E9)</f>
        <v>27.779999999999998</v>
      </c>
      <c r="F10" s="39" t="s">
        <v>12</v>
      </c>
      <c r="G10" s="40" t="s">
        <v>12</v>
      </c>
      <c r="H10" s="41">
        <f>SUM(H5:H9)</f>
        <v>27.749133999999998</v>
      </c>
      <c r="I10" s="42">
        <f t="shared" si="1"/>
        <v>-3.0865999999999616E-2</v>
      </c>
      <c r="J10" s="43">
        <f t="shared" si="2"/>
        <v>-1.1110871130309437E-3</v>
      </c>
    </row>
    <row r="11" spans="1:14" ht="26.25" customHeight="1" x14ac:dyDescent="0.2">
      <c r="A11" s="361" t="s">
        <v>48</v>
      </c>
      <c r="B11" s="44" t="s">
        <v>49</v>
      </c>
      <c r="C11" s="45">
        <v>216450</v>
      </c>
      <c r="D11" s="46">
        <v>7973</v>
      </c>
      <c r="E11" s="47">
        <v>0.84</v>
      </c>
      <c r="F11" s="48">
        <v>105</v>
      </c>
      <c r="G11" s="49">
        <f>$F$91</f>
        <v>142</v>
      </c>
      <c r="H11" s="50">
        <f t="shared" si="0"/>
        <v>0.84</v>
      </c>
      <c r="I11" s="51">
        <f t="shared" si="1"/>
        <v>0</v>
      </c>
      <c r="J11" s="52">
        <f t="shared" si="2"/>
        <v>0</v>
      </c>
      <c r="L11" s="6" t="b">
        <f t="shared" si="3"/>
        <v>1</v>
      </c>
    </row>
    <row r="12" spans="1:14" x14ac:dyDescent="0.2">
      <c r="A12" s="354"/>
      <c r="B12" s="25" t="s">
        <v>50</v>
      </c>
      <c r="C12" s="17">
        <v>216647</v>
      </c>
      <c r="D12" s="26">
        <v>1576</v>
      </c>
      <c r="E12" s="19">
        <v>0.15</v>
      </c>
      <c r="F12" s="20">
        <v>95</v>
      </c>
      <c r="G12" s="21">
        <f t="shared" ref="G12:G15" si="5">$F$91</f>
        <v>142</v>
      </c>
      <c r="H12" s="22">
        <f t="shared" si="0"/>
        <v>0.15</v>
      </c>
      <c r="I12" s="23">
        <f t="shared" si="1"/>
        <v>0</v>
      </c>
      <c r="J12" s="24">
        <f t="shared" si="2"/>
        <v>0</v>
      </c>
      <c r="L12" s="6" t="b">
        <f t="shared" si="3"/>
        <v>1</v>
      </c>
    </row>
    <row r="13" spans="1:14" x14ac:dyDescent="0.2">
      <c r="A13" s="354"/>
      <c r="B13" s="25" t="s">
        <v>51</v>
      </c>
      <c r="C13" s="17">
        <v>216833</v>
      </c>
      <c r="D13" s="26">
        <v>7230</v>
      </c>
      <c r="E13" s="19">
        <v>0.61</v>
      </c>
      <c r="F13" s="20">
        <v>84</v>
      </c>
      <c r="G13" s="21">
        <f t="shared" si="5"/>
        <v>142</v>
      </c>
      <c r="H13" s="27">
        <f>E13</f>
        <v>0.61</v>
      </c>
      <c r="I13" s="23">
        <f>H13-E13</f>
        <v>0</v>
      </c>
      <c r="J13" s="24">
        <f t="shared" si="2"/>
        <v>0</v>
      </c>
      <c r="L13" s="6" t="b">
        <f t="shared" si="3"/>
        <v>1</v>
      </c>
      <c r="M13" s="6" t="s">
        <v>39</v>
      </c>
    </row>
    <row r="14" spans="1:14" x14ac:dyDescent="0.2">
      <c r="A14" s="354"/>
      <c r="B14" s="25" t="s">
        <v>52</v>
      </c>
      <c r="C14" s="17">
        <v>217300</v>
      </c>
      <c r="D14" s="26">
        <v>1230</v>
      </c>
      <c r="E14" s="19">
        <v>0.09</v>
      </c>
      <c r="F14" s="20">
        <v>71</v>
      </c>
      <c r="G14" s="21">
        <f t="shared" si="5"/>
        <v>142</v>
      </c>
      <c r="H14" s="27">
        <f>E14</f>
        <v>0.09</v>
      </c>
      <c r="I14" s="23">
        <f t="shared" si="1"/>
        <v>0</v>
      </c>
      <c r="J14" s="24">
        <f t="shared" si="2"/>
        <v>0</v>
      </c>
      <c r="L14" s="6" t="b">
        <f t="shared" si="3"/>
        <v>1</v>
      </c>
      <c r="N14" s="6" t="s">
        <v>39</v>
      </c>
    </row>
    <row r="15" spans="1:14" ht="13.5" thickBot="1" x14ac:dyDescent="0.25">
      <c r="A15" s="354"/>
      <c r="B15" s="53" t="s">
        <v>53</v>
      </c>
      <c r="C15" s="29">
        <v>220667</v>
      </c>
      <c r="D15" s="30">
        <v>11925</v>
      </c>
      <c r="E15" s="31">
        <v>1.44</v>
      </c>
      <c r="F15" s="32">
        <v>121</v>
      </c>
      <c r="G15" s="33">
        <f t="shared" si="5"/>
        <v>142</v>
      </c>
      <c r="H15" s="34">
        <f>E15</f>
        <v>1.44</v>
      </c>
      <c r="I15" s="35">
        <f t="shared" si="1"/>
        <v>0</v>
      </c>
      <c r="J15" s="36">
        <f t="shared" si="2"/>
        <v>0</v>
      </c>
      <c r="L15" s="6" t="b">
        <f t="shared" si="3"/>
        <v>1</v>
      </c>
    </row>
    <row r="16" spans="1:14" ht="14.25" thickTop="1" thickBot="1" x14ac:dyDescent="0.25">
      <c r="A16" s="355"/>
      <c r="B16" s="362" t="s">
        <v>54</v>
      </c>
      <c r="C16" s="363"/>
      <c r="D16" s="37">
        <f>SUM(D11:D15)</f>
        <v>29934</v>
      </c>
      <c r="E16" s="54">
        <f>SUM(E11:E15)</f>
        <v>3.13</v>
      </c>
      <c r="F16" s="55" t="s">
        <v>12</v>
      </c>
      <c r="G16" s="40" t="s">
        <v>12</v>
      </c>
      <c r="H16" s="41">
        <f>SUM(H11:H15)</f>
        <v>3.13</v>
      </c>
      <c r="I16" s="42">
        <f t="shared" si="1"/>
        <v>0</v>
      </c>
      <c r="J16" s="43">
        <f t="shared" si="2"/>
        <v>0</v>
      </c>
    </row>
    <row r="17" spans="1:13" ht="25.5" customHeight="1" x14ac:dyDescent="0.2">
      <c r="A17" s="361" t="s">
        <v>55</v>
      </c>
      <c r="B17" s="56" t="s">
        <v>56</v>
      </c>
      <c r="C17" s="57">
        <v>15</v>
      </c>
      <c r="D17" s="18">
        <v>7528</v>
      </c>
      <c r="E17" s="58">
        <v>1.05</v>
      </c>
      <c r="F17" s="59">
        <v>139</v>
      </c>
      <c r="G17" s="60">
        <f>$F$90</f>
        <v>121</v>
      </c>
      <c r="H17" s="27">
        <f t="shared" ref="H17" si="6">D17*G17/1000000</f>
        <v>0.91088800000000003</v>
      </c>
      <c r="I17" s="61">
        <f t="shared" si="1"/>
        <v>-0.13911200000000001</v>
      </c>
      <c r="J17" s="62">
        <f t="shared" si="2"/>
        <v>-0.13248761904761905</v>
      </c>
      <c r="K17" s="63"/>
      <c r="L17" s="6" t="b">
        <f t="shared" si="3"/>
        <v>0</v>
      </c>
    </row>
    <row r="18" spans="1:13" ht="13.5" thickBot="1" x14ac:dyDescent="0.25">
      <c r="A18" s="354"/>
      <c r="B18" s="53" t="s">
        <v>57</v>
      </c>
      <c r="C18" s="29">
        <v>24</v>
      </c>
      <c r="D18" s="30">
        <v>502</v>
      </c>
      <c r="E18" s="31">
        <v>0.04</v>
      </c>
      <c r="F18" s="32">
        <v>74</v>
      </c>
      <c r="G18" s="33">
        <f>$F$90</f>
        <v>121</v>
      </c>
      <c r="H18" s="34">
        <f>E18</f>
        <v>0.04</v>
      </c>
      <c r="I18" s="35">
        <f t="shared" si="1"/>
        <v>0</v>
      </c>
      <c r="J18" s="36">
        <f t="shared" si="2"/>
        <v>0</v>
      </c>
      <c r="L18" s="6" t="b">
        <f t="shared" si="3"/>
        <v>1</v>
      </c>
      <c r="M18" s="6" t="s">
        <v>39</v>
      </c>
    </row>
    <row r="19" spans="1:13" ht="14.25" thickTop="1" thickBot="1" x14ac:dyDescent="0.25">
      <c r="A19" s="411"/>
      <c r="B19" s="362" t="s">
        <v>58</v>
      </c>
      <c r="C19" s="363"/>
      <c r="D19" s="37">
        <f>SUM(D17:D18)</f>
        <v>8030</v>
      </c>
      <c r="E19" s="54">
        <f>SUM(E17:E18)</f>
        <v>1.0900000000000001</v>
      </c>
      <c r="F19" s="55" t="s">
        <v>12</v>
      </c>
      <c r="G19" s="40" t="s">
        <v>12</v>
      </c>
      <c r="H19" s="41">
        <f>SUM(H17:H18)</f>
        <v>0.95088800000000007</v>
      </c>
      <c r="I19" s="42">
        <f t="shared" si="1"/>
        <v>-0.13911200000000001</v>
      </c>
      <c r="J19" s="43">
        <f>I19/E19</f>
        <v>-0.1276256880733945</v>
      </c>
    </row>
    <row r="20" spans="1:13" ht="25.5" customHeight="1" thickBot="1" x14ac:dyDescent="0.25">
      <c r="A20" s="410" t="s">
        <v>59</v>
      </c>
      <c r="B20" s="64" t="s">
        <v>60</v>
      </c>
      <c r="C20" s="65">
        <v>431</v>
      </c>
      <c r="D20" s="66">
        <v>155</v>
      </c>
      <c r="E20" s="67">
        <v>0.01</v>
      </c>
      <c r="F20" s="68">
        <f>F25</f>
        <v>102</v>
      </c>
      <c r="G20" s="69">
        <f>$F$90</f>
        <v>121</v>
      </c>
      <c r="H20" s="70">
        <f>E20</f>
        <v>0.01</v>
      </c>
      <c r="I20" s="71">
        <f t="shared" si="1"/>
        <v>0</v>
      </c>
      <c r="J20" s="72">
        <f t="shared" si="2"/>
        <v>0</v>
      </c>
      <c r="L20" s="6" t="b">
        <f t="shared" si="3"/>
        <v>1</v>
      </c>
    </row>
    <row r="21" spans="1:13" ht="14.25" thickTop="1" thickBot="1" x14ac:dyDescent="0.25">
      <c r="A21" s="411"/>
      <c r="B21" s="362" t="s">
        <v>61</v>
      </c>
      <c r="C21" s="363"/>
      <c r="D21" s="37">
        <f>SUM(D20)</f>
        <v>155</v>
      </c>
      <c r="E21" s="54">
        <f>SUM(E20)</f>
        <v>0.01</v>
      </c>
      <c r="F21" s="55" t="s">
        <v>12</v>
      </c>
      <c r="G21" s="40" t="s">
        <v>12</v>
      </c>
      <c r="H21" s="41">
        <f>SUM(H20)</f>
        <v>0.01</v>
      </c>
      <c r="I21" s="42">
        <f t="shared" si="1"/>
        <v>0</v>
      </c>
      <c r="J21" s="43">
        <f t="shared" si="2"/>
        <v>0</v>
      </c>
    </row>
    <row r="22" spans="1:13" ht="25.5" customHeight="1" x14ac:dyDescent="0.2">
      <c r="A22" s="410" t="s">
        <v>62</v>
      </c>
      <c r="B22" s="73" t="s">
        <v>63</v>
      </c>
      <c r="C22" s="74">
        <v>216650</v>
      </c>
      <c r="D22" s="18">
        <v>8653</v>
      </c>
      <c r="E22" s="58">
        <v>0.91</v>
      </c>
      <c r="F22" s="59">
        <v>105</v>
      </c>
      <c r="G22" s="60">
        <f t="shared" ref="G22:G23" si="7">$F$91</f>
        <v>142</v>
      </c>
      <c r="H22" s="75">
        <f>E22</f>
        <v>0.91</v>
      </c>
      <c r="I22" s="23">
        <f t="shared" si="1"/>
        <v>0</v>
      </c>
      <c r="J22" s="24">
        <v>0</v>
      </c>
      <c r="L22" s="6" t="b">
        <f t="shared" si="3"/>
        <v>1</v>
      </c>
    </row>
    <row r="23" spans="1:13" ht="15.75" customHeight="1" thickBot="1" x14ac:dyDescent="0.25">
      <c r="A23" s="354"/>
      <c r="B23" s="76" t="s">
        <v>64</v>
      </c>
      <c r="C23" s="29">
        <v>218998</v>
      </c>
      <c r="D23" s="30">
        <v>889</v>
      </c>
      <c r="E23" s="31">
        <v>0.2</v>
      </c>
      <c r="F23" s="32">
        <v>221</v>
      </c>
      <c r="G23" s="33">
        <f t="shared" si="7"/>
        <v>142</v>
      </c>
      <c r="H23" s="34">
        <f t="shared" ref="H23" si="8">D23*G23/1000000</f>
        <v>0.12623799999999999</v>
      </c>
      <c r="I23" s="35">
        <f t="shared" si="1"/>
        <v>-7.3762000000000022E-2</v>
      </c>
      <c r="J23" s="36">
        <f t="shared" si="2"/>
        <v>-0.36881000000000008</v>
      </c>
      <c r="L23" s="6" t="b">
        <f t="shared" si="3"/>
        <v>0</v>
      </c>
    </row>
    <row r="24" spans="1:13" ht="16.5" customHeight="1" thickTop="1" thickBot="1" x14ac:dyDescent="0.25">
      <c r="A24" s="355"/>
      <c r="B24" s="366" t="s">
        <v>65</v>
      </c>
      <c r="C24" s="412"/>
      <c r="D24" s="77">
        <f>SUM(D22:D23)</f>
        <v>9542</v>
      </c>
      <c r="E24" s="78">
        <f>SUM(E22:E23)</f>
        <v>1.1100000000000001</v>
      </c>
      <c r="F24" s="79" t="s">
        <v>12</v>
      </c>
      <c r="G24" s="80" t="s">
        <v>12</v>
      </c>
      <c r="H24" s="81">
        <f>SUM(H22:H23)</f>
        <v>1.036238</v>
      </c>
      <c r="I24" s="82">
        <f t="shared" si="1"/>
        <v>-7.3762000000000105E-2</v>
      </c>
      <c r="J24" s="83">
        <f t="shared" si="2"/>
        <v>-6.6452252252252347E-2</v>
      </c>
    </row>
    <row r="25" spans="1:13" ht="16.5" customHeight="1" x14ac:dyDescent="0.2">
      <c r="A25" s="361" t="s">
        <v>66</v>
      </c>
      <c r="B25" s="84" t="s">
        <v>60</v>
      </c>
      <c r="C25" s="85" t="s">
        <v>221</v>
      </c>
      <c r="D25" s="18">
        <v>227726</v>
      </c>
      <c r="E25" s="86">
        <v>23.19</v>
      </c>
      <c r="F25" s="87">
        <f>ROUND((E25/D25)*1000000,0)</f>
        <v>102</v>
      </c>
      <c r="G25" s="60">
        <f>$F$90</f>
        <v>121</v>
      </c>
      <c r="H25" s="88">
        <f>E25</f>
        <v>23.19</v>
      </c>
      <c r="I25" s="61">
        <f>H25-E25</f>
        <v>0</v>
      </c>
      <c r="J25" s="89">
        <f t="shared" si="2"/>
        <v>0</v>
      </c>
      <c r="L25" s="6" t="b">
        <f t="shared" si="3"/>
        <v>1</v>
      </c>
    </row>
    <row r="26" spans="1:13" ht="16.5" customHeight="1" x14ac:dyDescent="0.2">
      <c r="A26" s="354"/>
      <c r="B26" s="90" t="s">
        <v>67</v>
      </c>
      <c r="C26" s="327">
        <v>453</v>
      </c>
      <c r="D26" s="94">
        <v>10076</v>
      </c>
      <c r="E26" s="95">
        <v>0.98</v>
      </c>
      <c r="F26" s="96">
        <v>97</v>
      </c>
      <c r="G26" s="60">
        <f>$F$90</f>
        <v>121</v>
      </c>
      <c r="H26" s="97">
        <f>E26</f>
        <v>0.98</v>
      </c>
      <c r="I26" s="98">
        <f t="shared" ref="I26:I88" si="9">H26-E26</f>
        <v>0</v>
      </c>
      <c r="J26" s="99">
        <f t="shared" si="2"/>
        <v>0</v>
      </c>
      <c r="L26" s="6" t="b">
        <f t="shared" si="3"/>
        <v>1</v>
      </c>
    </row>
    <row r="27" spans="1:13" ht="16.5" customHeight="1" x14ac:dyDescent="0.2">
      <c r="A27" s="354"/>
      <c r="B27" s="90" t="s">
        <v>68</v>
      </c>
      <c r="C27" s="328">
        <v>499</v>
      </c>
      <c r="D27" s="26">
        <v>8702</v>
      </c>
      <c r="E27" s="91">
        <v>1.4</v>
      </c>
      <c r="F27" s="92">
        <v>161</v>
      </c>
      <c r="G27" s="60">
        <f>$F$90</f>
        <v>121</v>
      </c>
      <c r="H27" s="22">
        <f t="shared" ref="H27:H31" si="10">D27*G27/1000000</f>
        <v>1.052942</v>
      </c>
      <c r="I27" s="23">
        <f t="shared" si="9"/>
        <v>-0.34705799999999987</v>
      </c>
      <c r="J27" s="93">
        <f t="shared" si="2"/>
        <v>-0.24789857142857136</v>
      </c>
      <c r="L27" s="6" t="b">
        <f t="shared" si="3"/>
        <v>0</v>
      </c>
    </row>
    <row r="28" spans="1:13" ht="16.5" customHeight="1" thickBot="1" x14ac:dyDescent="0.25">
      <c r="A28" s="354"/>
      <c r="B28" s="100" t="s">
        <v>69</v>
      </c>
      <c r="C28" s="329">
        <v>88271</v>
      </c>
      <c r="D28" s="30">
        <v>27114</v>
      </c>
      <c r="E28" s="101">
        <v>0</v>
      </c>
      <c r="F28" s="102">
        <v>0</v>
      </c>
      <c r="G28" s="33">
        <f>$F$90</f>
        <v>121</v>
      </c>
      <c r="H28" s="34">
        <f>E28</f>
        <v>0</v>
      </c>
      <c r="I28" s="114" t="s">
        <v>12</v>
      </c>
      <c r="J28" s="103" t="s">
        <v>12</v>
      </c>
      <c r="L28" s="6" t="b">
        <f t="shared" si="3"/>
        <v>1</v>
      </c>
    </row>
    <row r="29" spans="1:13" ht="16.5" customHeight="1" thickTop="1" thickBot="1" x14ac:dyDescent="0.25">
      <c r="A29" s="355"/>
      <c r="B29" s="372" t="s">
        <v>71</v>
      </c>
      <c r="C29" s="373"/>
      <c r="D29" s="37">
        <f>SUM(D25:D28)</f>
        <v>273618</v>
      </c>
      <c r="E29" s="104">
        <f>SUM(E25:E28)</f>
        <v>25.57</v>
      </c>
      <c r="F29" s="105" t="s">
        <v>12</v>
      </c>
      <c r="G29" s="106" t="s">
        <v>12</v>
      </c>
      <c r="H29" s="41">
        <f>SUM(H25:H28)</f>
        <v>25.222942000000003</v>
      </c>
      <c r="I29" s="42">
        <f t="shared" si="9"/>
        <v>-0.34705799999999698</v>
      </c>
      <c r="J29" s="43">
        <f t="shared" si="2"/>
        <v>-1.3572858818928314E-2</v>
      </c>
    </row>
    <row r="30" spans="1:13" ht="16.5" customHeight="1" x14ac:dyDescent="0.2">
      <c r="A30" s="361" t="s">
        <v>72</v>
      </c>
      <c r="B30" s="84" t="s">
        <v>73</v>
      </c>
      <c r="C30" s="330">
        <v>217754</v>
      </c>
      <c r="D30" s="46">
        <v>22252</v>
      </c>
      <c r="E30" s="108">
        <v>3.94</v>
      </c>
      <c r="F30" s="109">
        <v>177</v>
      </c>
      <c r="G30" s="49">
        <f t="shared" ref="G30:G32" si="11">$F$91</f>
        <v>142</v>
      </c>
      <c r="H30" s="50">
        <f t="shared" si="10"/>
        <v>3.1597840000000001</v>
      </c>
      <c r="I30" s="110">
        <f t="shared" si="9"/>
        <v>-0.7802159999999998</v>
      </c>
      <c r="J30" s="111">
        <f t="shared" si="2"/>
        <v>-0.19802436548223346</v>
      </c>
      <c r="L30" s="6" t="b">
        <f t="shared" si="3"/>
        <v>0</v>
      </c>
    </row>
    <row r="31" spans="1:13" ht="16.5" customHeight="1" x14ac:dyDescent="0.2">
      <c r="A31" s="354"/>
      <c r="B31" s="90" t="s">
        <v>74</v>
      </c>
      <c r="C31" s="332">
        <v>220704</v>
      </c>
      <c r="D31" s="26">
        <v>94</v>
      </c>
      <c r="E31" s="91">
        <v>0.06</v>
      </c>
      <c r="F31" s="92">
        <v>635</v>
      </c>
      <c r="G31" s="21">
        <f t="shared" si="11"/>
        <v>142</v>
      </c>
      <c r="H31" s="22">
        <f t="shared" si="10"/>
        <v>1.3348E-2</v>
      </c>
      <c r="I31" s="120">
        <f t="shared" si="9"/>
        <v>-4.6651999999999999E-2</v>
      </c>
      <c r="J31" s="93">
        <f t="shared" si="2"/>
        <v>-0.7775333333333333</v>
      </c>
      <c r="L31" s="6" t="b">
        <f t="shared" si="3"/>
        <v>0</v>
      </c>
    </row>
    <row r="32" spans="1:13" ht="16.5" customHeight="1" thickBot="1" x14ac:dyDescent="0.25">
      <c r="A32" s="354"/>
      <c r="B32" s="331" t="s">
        <v>223</v>
      </c>
      <c r="C32" s="334">
        <v>239112</v>
      </c>
      <c r="D32" s="94">
        <v>0</v>
      </c>
      <c r="E32" s="101">
        <v>2.16</v>
      </c>
      <c r="F32" s="102" t="s">
        <v>12</v>
      </c>
      <c r="G32" s="33">
        <f t="shared" si="11"/>
        <v>142</v>
      </c>
      <c r="H32" s="34">
        <f>E32</f>
        <v>2.16</v>
      </c>
      <c r="I32" s="114">
        <f t="shared" ref="I32" si="12">H32-E32</f>
        <v>0</v>
      </c>
      <c r="J32" s="103">
        <f t="shared" ref="J32" si="13">I32/E32</f>
        <v>0</v>
      </c>
      <c r="L32" s="6" t="str">
        <f t="shared" si="3"/>
        <v>N/A</v>
      </c>
    </row>
    <row r="33" spans="1:12" ht="16.5" customHeight="1" thickTop="1" thickBot="1" x14ac:dyDescent="0.25">
      <c r="A33" s="355"/>
      <c r="B33" s="372" t="s">
        <v>75</v>
      </c>
      <c r="C33" s="373"/>
      <c r="D33" s="333">
        <f>SUM(D30:D32)</f>
        <v>22346</v>
      </c>
      <c r="E33" s="104">
        <f>SUM(E30:E32)</f>
        <v>6.16</v>
      </c>
      <c r="F33" s="105" t="s">
        <v>12</v>
      </c>
      <c r="G33" s="106" t="s">
        <v>12</v>
      </c>
      <c r="H33" s="41">
        <f>SUM(H30:H32)</f>
        <v>5.3331320000000009</v>
      </c>
      <c r="I33" s="42">
        <f t="shared" si="9"/>
        <v>-0.82686799999999927</v>
      </c>
      <c r="J33" s="43">
        <f t="shared" si="2"/>
        <v>-0.13423181818181806</v>
      </c>
    </row>
    <row r="34" spans="1:12" ht="16.5" customHeight="1" x14ac:dyDescent="0.2">
      <c r="A34" s="361" t="s">
        <v>76</v>
      </c>
      <c r="B34" s="115" t="s">
        <v>222</v>
      </c>
      <c r="C34" s="116" t="s">
        <v>77</v>
      </c>
      <c r="D34" s="46">
        <v>1015</v>
      </c>
      <c r="E34" s="108">
        <v>0.08</v>
      </c>
      <c r="F34" s="109">
        <v>77</v>
      </c>
      <c r="G34" s="117">
        <f t="shared" ref="G34:G41" si="14">$F$90</f>
        <v>121</v>
      </c>
      <c r="H34" s="50">
        <f>E34</f>
        <v>0.08</v>
      </c>
      <c r="I34" s="110">
        <f t="shared" si="9"/>
        <v>0</v>
      </c>
      <c r="J34" s="111">
        <f t="shared" si="2"/>
        <v>0</v>
      </c>
      <c r="L34" s="6" t="b">
        <f t="shared" si="3"/>
        <v>1</v>
      </c>
    </row>
    <row r="35" spans="1:12" ht="16.5" customHeight="1" x14ac:dyDescent="0.2">
      <c r="A35" s="354"/>
      <c r="B35" s="90" t="s">
        <v>78</v>
      </c>
      <c r="C35" s="118" t="s">
        <v>79</v>
      </c>
      <c r="D35" s="26">
        <v>2260</v>
      </c>
      <c r="E35" s="91">
        <v>0.36</v>
      </c>
      <c r="F35" s="119">
        <v>161</v>
      </c>
      <c r="G35" s="21">
        <f t="shared" si="14"/>
        <v>121</v>
      </c>
      <c r="H35" s="22">
        <f t="shared" ref="H35" si="15">D35*G35/1000000</f>
        <v>0.27345999999999998</v>
      </c>
      <c r="I35" s="120">
        <f t="shared" si="9"/>
        <v>-8.6540000000000006E-2</v>
      </c>
      <c r="J35" s="93">
        <f t="shared" si="2"/>
        <v>-0.2403888888888889</v>
      </c>
      <c r="L35" s="6" t="b">
        <f t="shared" si="3"/>
        <v>0</v>
      </c>
    </row>
    <row r="36" spans="1:12" ht="16.5" customHeight="1" x14ac:dyDescent="0.2">
      <c r="A36" s="354"/>
      <c r="B36" s="90" t="s">
        <v>80</v>
      </c>
      <c r="C36" s="118" t="s">
        <v>81</v>
      </c>
      <c r="D36" s="26">
        <v>26195</v>
      </c>
      <c r="E36" s="91">
        <v>2.8</v>
      </c>
      <c r="F36" s="92">
        <v>107</v>
      </c>
      <c r="G36" s="121">
        <f t="shared" si="14"/>
        <v>121</v>
      </c>
      <c r="H36" s="22">
        <f>E36</f>
        <v>2.8</v>
      </c>
      <c r="I36" s="122">
        <f t="shared" si="9"/>
        <v>0</v>
      </c>
      <c r="J36" s="93">
        <f t="shared" si="2"/>
        <v>0</v>
      </c>
      <c r="L36" s="6" t="b">
        <f t="shared" si="3"/>
        <v>1</v>
      </c>
    </row>
    <row r="37" spans="1:12" ht="16.5" customHeight="1" x14ac:dyDescent="0.2">
      <c r="A37" s="354"/>
      <c r="B37" s="123" t="s">
        <v>82</v>
      </c>
      <c r="C37" s="118" t="s">
        <v>83</v>
      </c>
      <c r="D37" s="26">
        <v>31857</v>
      </c>
      <c r="E37" s="91">
        <v>3.12</v>
      </c>
      <c r="F37" s="92">
        <v>98</v>
      </c>
      <c r="G37" s="124">
        <f t="shared" si="14"/>
        <v>121</v>
      </c>
      <c r="H37" s="22">
        <f>E37</f>
        <v>3.12</v>
      </c>
      <c r="I37" s="120">
        <f t="shared" si="9"/>
        <v>0</v>
      </c>
      <c r="J37" s="93">
        <f t="shared" si="2"/>
        <v>0</v>
      </c>
      <c r="L37" s="6" t="b">
        <f t="shared" si="3"/>
        <v>1</v>
      </c>
    </row>
    <row r="38" spans="1:12" ht="16.5" customHeight="1" x14ac:dyDescent="0.2">
      <c r="A38" s="354"/>
      <c r="B38" s="90" t="s">
        <v>84</v>
      </c>
      <c r="C38" s="107" t="s">
        <v>85</v>
      </c>
      <c r="D38" s="26">
        <v>7283</v>
      </c>
      <c r="E38" s="91">
        <v>0.92</v>
      </c>
      <c r="F38" s="92">
        <v>126</v>
      </c>
      <c r="G38" s="21">
        <f t="shared" si="14"/>
        <v>121</v>
      </c>
      <c r="H38" s="22">
        <f t="shared" ref="H38" si="16">D38*G38/1000000</f>
        <v>0.881243</v>
      </c>
      <c r="I38" s="120">
        <f t="shared" si="9"/>
        <v>-3.8757000000000041E-2</v>
      </c>
      <c r="J38" s="93">
        <f t="shared" si="2"/>
        <v>-4.212717391304352E-2</v>
      </c>
      <c r="L38" s="6" t="b">
        <f t="shared" si="3"/>
        <v>0</v>
      </c>
    </row>
    <row r="39" spans="1:12" ht="16.5" customHeight="1" x14ac:dyDescent="0.2">
      <c r="A39" s="354"/>
      <c r="B39" s="90" t="s">
        <v>86</v>
      </c>
      <c r="C39" s="118" t="s">
        <v>87</v>
      </c>
      <c r="D39" s="26">
        <v>85</v>
      </c>
      <c r="E39" s="91">
        <v>0</v>
      </c>
      <c r="F39" s="92" t="s">
        <v>12</v>
      </c>
      <c r="G39" s="121">
        <f t="shared" si="14"/>
        <v>121</v>
      </c>
      <c r="H39" s="22">
        <f>E39</f>
        <v>0</v>
      </c>
      <c r="I39" s="120" t="s">
        <v>12</v>
      </c>
      <c r="J39" s="93" t="s">
        <v>12</v>
      </c>
      <c r="L39" s="6" t="str">
        <f t="shared" si="3"/>
        <v>N/A</v>
      </c>
    </row>
    <row r="40" spans="1:12" ht="16.5" customHeight="1" x14ac:dyDescent="0.2">
      <c r="A40" s="354"/>
      <c r="B40" s="123" t="s">
        <v>88</v>
      </c>
      <c r="C40" s="107" t="s">
        <v>89</v>
      </c>
      <c r="D40" s="26">
        <v>3313</v>
      </c>
      <c r="E40" s="91">
        <v>0.3</v>
      </c>
      <c r="F40" s="92">
        <v>90</v>
      </c>
      <c r="G40" s="21">
        <f t="shared" si="14"/>
        <v>121</v>
      </c>
      <c r="H40" s="22">
        <f>E40</f>
        <v>0.3</v>
      </c>
      <c r="I40" s="120">
        <f t="shared" si="9"/>
        <v>0</v>
      </c>
      <c r="J40" s="93">
        <f t="shared" si="2"/>
        <v>0</v>
      </c>
      <c r="L40" s="6" t="b">
        <f t="shared" si="3"/>
        <v>1</v>
      </c>
    </row>
    <row r="41" spans="1:12" ht="16.5" customHeight="1" thickBot="1" x14ac:dyDescent="0.25">
      <c r="A41" s="354"/>
      <c r="B41" s="100" t="s">
        <v>90</v>
      </c>
      <c r="C41" s="112" t="s">
        <v>70</v>
      </c>
      <c r="D41" s="30">
        <v>998910</v>
      </c>
      <c r="E41" s="101">
        <v>151.38999999999999</v>
      </c>
      <c r="F41" s="102">
        <f>ROUND((E41/D41)*1000000,0)</f>
        <v>152</v>
      </c>
      <c r="G41" s="113">
        <f t="shared" si="14"/>
        <v>121</v>
      </c>
      <c r="H41" s="34">
        <f t="shared" ref="H41:H43" si="17">D41*G41/1000000</f>
        <v>120.86811</v>
      </c>
      <c r="I41" s="114">
        <f t="shared" si="9"/>
        <v>-30.521889999999985</v>
      </c>
      <c r="J41" s="103">
        <f t="shared" si="2"/>
        <v>-0.20161100468987375</v>
      </c>
      <c r="L41" s="6" t="b">
        <f t="shared" si="3"/>
        <v>0</v>
      </c>
    </row>
    <row r="42" spans="1:12" ht="16.5" customHeight="1" thickTop="1" thickBot="1" x14ac:dyDescent="0.25">
      <c r="A42" s="355"/>
      <c r="B42" s="372" t="s">
        <v>91</v>
      </c>
      <c r="C42" s="373"/>
      <c r="D42" s="37">
        <f>SUM(D34:D41)</f>
        <v>1070918</v>
      </c>
      <c r="E42" s="104">
        <f>SUM(E34:E41)</f>
        <v>158.97</v>
      </c>
      <c r="F42" s="105" t="s">
        <v>12</v>
      </c>
      <c r="G42" s="106" t="s">
        <v>12</v>
      </c>
      <c r="H42" s="41">
        <f>SUM(H34:H41)</f>
        <v>128.322813</v>
      </c>
      <c r="I42" s="42">
        <f t="shared" si="9"/>
        <v>-30.647187000000002</v>
      </c>
      <c r="J42" s="43">
        <f t="shared" si="2"/>
        <v>-0.19278597848650691</v>
      </c>
    </row>
    <row r="43" spans="1:12" ht="16.5" customHeight="1" x14ac:dyDescent="0.2">
      <c r="A43" s="361" t="s">
        <v>92</v>
      </c>
      <c r="B43" s="125" t="s">
        <v>93</v>
      </c>
      <c r="C43" s="116" t="s">
        <v>94</v>
      </c>
      <c r="D43" s="46">
        <v>7044</v>
      </c>
      <c r="E43" s="108">
        <v>1.01</v>
      </c>
      <c r="F43" s="109">
        <v>144</v>
      </c>
      <c r="G43" s="121">
        <f t="shared" ref="G43:G50" si="18">$F$90</f>
        <v>121</v>
      </c>
      <c r="H43" s="50">
        <f t="shared" si="17"/>
        <v>0.85232399999999997</v>
      </c>
      <c r="I43" s="110">
        <f t="shared" si="9"/>
        <v>-0.15767600000000004</v>
      </c>
      <c r="J43" s="111">
        <f t="shared" si="2"/>
        <v>-0.15611485148514856</v>
      </c>
      <c r="L43" s="6" t="b">
        <f t="shared" si="3"/>
        <v>0</v>
      </c>
    </row>
    <row r="44" spans="1:12" ht="16.5" customHeight="1" x14ac:dyDescent="0.2">
      <c r="A44" s="354"/>
      <c r="B44" s="56" t="s">
        <v>95</v>
      </c>
      <c r="C44" s="118" t="s">
        <v>96</v>
      </c>
      <c r="D44" s="26">
        <v>125437</v>
      </c>
      <c r="E44" s="91">
        <v>11.04</v>
      </c>
      <c r="F44" s="92">
        <v>88</v>
      </c>
      <c r="G44" s="124">
        <f t="shared" si="18"/>
        <v>121</v>
      </c>
      <c r="H44" s="22">
        <f>E44</f>
        <v>11.04</v>
      </c>
      <c r="I44" s="120">
        <f t="shared" si="9"/>
        <v>0</v>
      </c>
      <c r="J44" s="93">
        <f t="shared" si="2"/>
        <v>0</v>
      </c>
      <c r="L44" s="6" t="b">
        <f t="shared" si="3"/>
        <v>1</v>
      </c>
    </row>
    <row r="45" spans="1:12" ht="16.5" customHeight="1" x14ac:dyDescent="0.2">
      <c r="A45" s="354"/>
      <c r="B45" s="56" t="s">
        <v>97</v>
      </c>
      <c r="C45" s="118" t="s">
        <v>98</v>
      </c>
      <c r="D45" s="26">
        <v>1784</v>
      </c>
      <c r="E45" s="91">
        <v>0.24</v>
      </c>
      <c r="F45" s="92">
        <v>69</v>
      </c>
      <c r="G45" s="124">
        <f t="shared" si="18"/>
        <v>121</v>
      </c>
      <c r="H45" s="22">
        <f>E45</f>
        <v>0.24</v>
      </c>
      <c r="I45" s="120">
        <f t="shared" si="9"/>
        <v>0</v>
      </c>
      <c r="J45" s="93">
        <f t="shared" si="2"/>
        <v>0</v>
      </c>
      <c r="L45" s="6" t="b">
        <f t="shared" si="3"/>
        <v>1</v>
      </c>
    </row>
    <row r="46" spans="1:12" ht="16.5" customHeight="1" x14ac:dyDescent="0.2">
      <c r="A46" s="354"/>
      <c r="B46" s="56" t="s">
        <v>99</v>
      </c>
      <c r="C46" s="107" t="s">
        <v>100</v>
      </c>
      <c r="D46" s="94">
        <v>8174</v>
      </c>
      <c r="E46" s="95">
        <v>1.07</v>
      </c>
      <c r="F46" s="96">
        <v>131</v>
      </c>
      <c r="G46" s="124">
        <f t="shared" si="18"/>
        <v>121</v>
      </c>
      <c r="H46" s="97">
        <f t="shared" ref="H46:H50" si="19">D46*G46/1000000</f>
        <v>0.98905399999999999</v>
      </c>
      <c r="I46" s="122">
        <f t="shared" si="9"/>
        <v>-8.0946000000000073E-2</v>
      </c>
      <c r="J46" s="99">
        <f t="shared" si="2"/>
        <v>-7.5650467289719692E-2</v>
      </c>
      <c r="L46" s="6" t="b">
        <f t="shared" si="3"/>
        <v>0</v>
      </c>
    </row>
    <row r="47" spans="1:12" ht="16.5" customHeight="1" x14ac:dyDescent="0.2">
      <c r="A47" s="354"/>
      <c r="B47" s="126" t="s">
        <v>101</v>
      </c>
      <c r="C47" s="118" t="s">
        <v>102</v>
      </c>
      <c r="D47" s="26">
        <v>1284</v>
      </c>
      <c r="E47" s="91">
        <v>0.11</v>
      </c>
      <c r="F47" s="92">
        <v>85</v>
      </c>
      <c r="G47" s="21">
        <f t="shared" si="18"/>
        <v>121</v>
      </c>
      <c r="H47" s="22">
        <f>E47</f>
        <v>0.11</v>
      </c>
      <c r="I47" s="120">
        <f t="shared" si="9"/>
        <v>0</v>
      </c>
      <c r="J47" s="127">
        <f t="shared" si="2"/>
        <v>0</v>
      </c>
      <c r="K47" s="128"/>
      <c r="L47" s="6" t="b">
        <f t="shared" si="3"/>
        <v>1</v>
      </c>
    </row>
    <row r="48" spans="1:12" ht="16.5" customHeight="1" x14ac:dyDescent="0.2">
      <c r="A48" s="354"/>
      <c r="B48" s="16" t="s">
        <v>103</v>
      </c>
      <c r="C48" s="118" t="s">
        <v>104</v>
      </c>
      <c r="D48" s="26">
        <v>622</v>
      </c>
      <c r="E48" s="91">
        <v>0</v>
      </c>
      <c r="F48" s="92" t="s">
        <v>12</v>
      </c>
      <c r="G48" s="21">
        <f t="shared" si="18"/>
        <v>121</v>
      </c>
      <c r="H48" s="22">
        <f>E48</f>
        <v>0</v>
      </c>
      <c r="I48" s="120" t="s">
        <v>12</v>
      </c>
      <c r="J48" s="93" t="s">
        <v>12</v>
      </c>
      <c r="L48" s="6" t="str">
        <f t="shared" si="3"/>
        <v>N/A</v>
      </c>
    </row>
    <row r="49" spans="1:12" ht="16.5" customHeight="1" x14ac:dyDescent="0.2">
      <c r="A49" s="354"/>
      <c r="B49" s="56" t="s">
        <v>105</v>
      </c>
      <c r="C49" s="118" t="s">
        <v>106</v>
      </c>
      <c r="D49" s="26">
        <v>459</v>
      </c>
      <c r="E49" s="91">
        <v>0</v>
      </c>
      <c r="F49" s="92" t="s">
        <v>12</v>
      </c>
      <c r="G49" s="21">
        <f t="shared" si="18"/>
        <v>121</v>
      </c>
      <c r="H49" s="22">
        <f>E49</f>
        <v>0</v>
      </c>
      <c r="I49" s="120" t="s">
        <v>12</v>
      </c>
      <c r="J49" s="93" t="s">
        <v>12</v>
      </c>
      <c r="L49" s="6" t="str">
        <f t="shared" si="3"/>
        <v>N/A</v>
      </c>
    </row>
    <row r="50" spans="1:12" ht="16.5" customHeight="1" thickBot="1" x14ac:dyDescent="0.25">
      <c r="A50" s="354"/>
      <c r="B50" s="100" t="s">
        <v>107</v>
      </c>
      <c r="C50" s="107">
        <v>51136</v>
      </c>
      <c r="D50" s="30">
        <v>4551</v>
      </c>
      <c r="E50" s="101">
        <v>0.86</v>
      </c>
      <c r="F50" s="102">
        <v>188</v>
      </c>
      <c r="G50" s="113">
        <f t="shared" si="18"/>
        <v>121</v>
      </c>
      <c r="H50" s="34">
        <f t="shared" si="19"/>
        <v>0.55067100000000002</v>
      </c>
      <c r="I50" s="114">
        <f t="shared" si="9"/>
        <v>-0.30932899999999997</v>
      </c>
      <c r="J50" s="103">
        <f t="shared" si="2"/>
        <v>-0.35968488372093022</v>
      </c>
      <c r="L50" s="6" t="b">
        <f t="shared" si="3"/>
        <v>0</v>
      </c>
    </row>
    <row r="51" spans="1:12" ht="16.5" customHeight="1" thickTop="1" thickBot="1" x14ac:dyDescent="0.25">
      <c r="A51" s="355"/>
      <c r="B51" s="372" t="s">
        <v>108</v>
      </c>
      <c r="C51" s="373"/>
      <c r="D51" s="37">
        <f>SUM(D43:D50)</f>
        <v>149355</v>
      </c>
      <c r="E51" s="104">
        <f>SUM(E43:E50)</f>
        <v>14.329999999999998</v>
      </c>
      <c r="F51" s="105" t="s">
        <v>12</v>
      </c>
      <c r="G51" s="106" t="s">
        <v>12</v>
      </c>
      <c r="H51" s="41">
        <f>SUM(H43:H50)</f>
        <v>13.782048999999997</v>
      </c>
      <c r="I51" s="42">
        <f t="shared" si="9"/>
        <v>-0.54795100000000119</v>
      </c>
      <c r="J51" s="43">
        <f t="shared" si="2"/>
        <v>-3.8238032100488574E-2</v>
      </c>
    </row>
    <row r="52" spans="1:12" ht="16.5" customHeight="1" x14ac:dyDescent="0.2">
      <c r="A52" s="361" t="s">
        <v>109</v>
      </c>
      <c r="B52" s="84" t="s">
        <v>110</v>
      </c>
      <c r="C52" s="85">
        <v>216453</v>
      </c>
      <c r="D52" s="46">
        <v>2710</v>
      </c>
      <c r="E52" s="108">
        <v>0.28000000000000003</v>
      </c>
      <c r="F52" s="109">
        <v>104</v>
      </c>
      <c r="G52" s="49">
        <f>$F$91</f>
        <v>142</v>
      </c>
      <c r="H52" s="50">
        <f>E52</f>
        <v>0.28000000000000003</v>
      </c>
      <c r="I52" s="110">
        <f t="shared" si="9"/>
        <v>0</v>
      </c>
      <c r="J52" s="111">
        <f t="shared" si="2"/>
        <v>0</v>
      </c>
      <c r="L52" s="6" t="b">
        <f t="shared" si="3"/>
        <v>1</v>
      </c>
    </row>
    <row r="53" spans="1:12" ht="16.5" customHeight="1" thickBot="1" x14ac:dyDescent="0.25">
      <c r="A53" s="354"/>
      <c r="B53" s="326" t="s">
        <v>111</v>
      </c>
      <c r="C53" s="129">
        <v>220310</v>
      </c>
      <c r="D53" s="30">
        <v>170</v>
      </c>
      <c r="E53" s="101">
        <v>0</v>
      </c>
      <c r="F53" s="102">
        <v>0</v>
      </c>
      <c r="G53" s="33">
        <f>$F$91</f>
        <v>142</v>
      </c>
      <c r="H53" s="34">
        <f>E53</f>
        <v>0</v>
      </c>
      <c r="I53" s="114" t="s">
        <v>12</v>
      </c>
      <c r="J53" s="103" t="s">
        <v>12</v>
      </c>
      <c r="L53" s="6" t="b">
        <f t="shared" si="3"/>
        <v>1</v>
      </c>
    </row>
    <row r="54" spans="1:12" ht="16.5" customHeight="1" thickTop="1" thickBot="1" x14ac:dyDescent="0.25">
      <c r="A54" s="355"/>
      <c r="B54" s="409" t="s">
        <v>112</v>
      </c>
      <c r="C54" s="363"/>
      <c r="D54" s="37">
        <f>SUM(D52:D53)</f>
        <v>2880</v>
      </c>
      <c r="E54" s="104">
        <f>SUM(E52:E53)</f>
        <v>0.28000000000000003</v>
      </c>
      <c r="F54" s="105" t="s">
        <v>12</v>
      </c>
      <c r="G54" s="106" t="s">
        <v>12</v>
      </c>
      <c r="H54" s="41">
        <f>SUM(H52:H53)</f>
        <v>0.28000000000000003</v>
      </c>
      <c r="I54" s="42">
        <f t="shared" si="9"/>
        <v>0</v>
      </c>
      <c r="J54" s="43">
        <f t="shared" si="2"/>
        <v>0</v>
      </c>
    </row>
    <row r="55" spans="1:12" ht="16.5" customHeight="1" x14ac:dyDescent="0.2">
      <c r="A55" s="361" t="s">
        <v>113</v>
      </c>
      <c r="B55" s="84" t="s">
        <v>114</v>
      </c>
      <c r="C55" s="116" t="s">
        <v>115</v>
      </c>
      <c r="D55" s="46">
        <v>699</v>
      </c>
      <c r="E55" s="108">
        <v>0.15</v>
      </c>
      <c r="F55" s="109">
        <v>208</v>
      </c>
      <c r="G55" s="121">
        <f t="shared" ref="G55:G58" si="20">$F$91</f>
        <v>142</v>
      </c>
      <c r="H55" s="50">
        <f>D55*G55/1000000</f>
        <v>9.9257999999999999E-2</v>
      </c>
      <c r="I55" s="110">
        <f t="shared" si="9"/>
        <v>-5.0741999999999995E-2</v>
      </c>
      <c r="J55" s="111">
        <f t="shared" si="2"/>
        <v>-0.33827999999999997</v>
      </c>
      <c r="L55" s="6" t="b">
        <f t="shared" si="3"/>
        <v>0</v>
      </c>
    </row>
    <row r="56" spans="1:12" ht="16.5" customHeight="1" x14ac:dyDescent="0.2">
      <c r="A56" s="354"/>
      <c r="B56" s="90" t="s">
        <v>116</v>
      </c>
      <c r="C56" s="118" t="s">
        <v>117</v>
      </c>
      <c r="D56" s="26">
        <v>877</v>
      </c>
      <c r="E56" s="91">
        <v>0.05</v>
      </c>
      <c r="F56" s="92">
        <v>58</v>
      </c>
      <c r="G56" s="21">
        <f t="shared" si="20"/>
        <v>142</v>
      </c>
      <c r="H56" s="22">
        <f>E56</f>
        <v>0.05</v>
      </c>
      <c r="I56" s="120">
        <f t="shared" si="9"/>
        <v>0</v>
      </c>
      <c r="J56" s="93">
        <f t="shared" si="2"/>
        <v>0</v>
      </c>
      <c r="L56" s="6" t="b">
        <f t="shared" si="3"/>
        <v>1</v>
      </c>
    </row>
    <row r="57" spans="1:12" ht="16.5" customHeight="1" x14ac:dyDescent="0.2">
      <c r="A57" s="354"/>
      <c r="B57" s="90" t="s">
        <v>118</v>
      </c>
      <c r="C57" s="118" t="s">
        <v>119</v>
      </c>
      <c r="D57" s="26">
        <v>0</v>
      </c>
      <c r="E57" s="91">
        <v>0.13</v>
      </c>
      <c r="F57" s="92" t="s">
        <v>12</v>
      </c>
      <c r="G57" s="21">
        <f t="shared" si="20"/>
        <v>142</v>
      </c>
      <c r="H57" s="22">
        <f>E57</f>
        <v>0.13</v>
      </c>
      <c r="I57" s="120">
        <f t="shared" ref="I57" si="21">H57-E57</f>
        <v>0</v>
      </c>
      <c r="J57" s="93">
        <f t="shared" ref="J57" si="22">I57/E57</f>
        <v>0</v>
      </c>
      <c r="L57" s="6" t="str">
        <f t="shared" si="3"/>
        <v>N/A</v>
      </c>
    </row>
    <row r="58" spans="1:12" ht="16.5" customHeight="1" thickBot="1" x14ac:dyDescent="0.25">
      <c r="A58" s="354"/>
      <c r="B58" s="53" t="s">
        <v>120</v>
      </c>
      <c r="C58" s="130" t="s">
        <v>121</v>
      </c>
      <c r="D58" s="30">
        <v>3736</v>
      </c>
      <c r="E58" s="101">
        <v>0.7</v>
      </c>
      <c r="F58" s="102">
        <v>188</v>
      </c>
      <c r="G58" s="33">
        <f t="shared" si="20"/>
        <v>142</v>
      </c>
      <c r="H58" s="34">
        <f t="shared" ref="H58" si="23">D58*G58/1000000</f>
        <v>0.53051199999999998</v>
      </c>
      <c r="I58" s="114">
        <f t="shared" si="9"/>
        <v>-0.16948799999999997</v>
      </c>
      <c r="J58" s="103">
        <f t="shared" si="2"/>
        <v>-0.24212571428571425</v>
      </c>
      <c r="L58" s="6" t="b">
        <f t="shared" si="3"/>
        <v>0</v>
      </c>
    </row>
    <row r="59" spans="1:12" ht="16.5" customHeight="1" thickTop="1" thickBot="1" x14ac:dyDescent="0.25">
      <c r="A59" s="355"/>
      <c r="B59" s="409" t="s">
        <v>122</v>
      </c>
      <c r="C59" s="363"/>
      <c r="D59" s="37">
        <f>SUM(D55:D58)</f>
        <v>5312</v>
      </c>
      <c r="E59" s="104">
        <f>SUM(E55:E58)</f>
        <v>1.03</v>
      </c>
      <c r="F59" s="105" t="s">
        <v>12</v>
      </c>
      <c r="G59" s="106" t="s">
        <v>12</v>
      </c>
      <c r="H59" s="41">
        <f>SUM(H55:H58)</f>
        <v>0.80976999999999999</v>
      </c>
      <c r="I59" s="42">
        <f t="shared" si="9"/>
        <v>-0.22023000000000004</v>
      </c>
      <c r="J59" s="43">
        <f t="shared" si="2"/>
        <v>-0.21381553398058256</v>
      </c>
    </row>
    <row r="60" spans="1:12" ht="16.5" customHeight="1" x14ac:dyDescent="0.2">
      <c r="A60" s="361" t="s">
        <v>123</v>
      </c>
      <c r="B60" s="131" t="s">
        <v>124</v>
      </c>
      <c r="C60" s="85" t="s">
        <v>125</v>
      </c>
      <c r="D60" s="46">
        <v>20476</v>
      </c>
      <c r="E60" s="108">
        <v>3.46</v>
      </c>
      <c r="F60" s="109">
        <v>169</v>
      </c>
      <c r="G60" s="121">
        <f>$F$90</f>
        <v>121</v>
      </c>
      <c r="H60" s="50">
        <f t="shared" ref="H60" si="24">D60*G60/1000000</f>
        <v>2.4775960000000001</v>
      </c>
      <c r="I60" s="110">
        <f t="shared" si="9"/>
        <v>-0.98240399999999983</v>
      </c>
      <c r="J60" s="111">
        <f t="shared" si="2"/>
        <v>-0.28393179190751439</v>
      </c>
      <c r="L60" s="6" t="b">
        <f t="shared" si="3"/>
        <v>0</v>
      </c>
    </row>
    <row r="61" spans="1:12" ht="16.5" customHeight="1" x14ac:dyDescent="0.2">
      <c r="A61" s="354"/>
      <c r="B61" s="16" t="s">
        <v>126</v>
      </c>
      <c r="C61" s="118" t="s">
        <v>127</v>
      </c>
      <c r="D61" s="26">
        <v>2861</v>
      </c>
      <c r="E61" s="91">
        <v>0.3</v>
      </c>
      <c r="F61" s="119">
        <v>104</v>
      </c>
      <c r="G61" s="124">
        <f>$F$90</f>
        <v>121</v>
      </c>
      <c r="H61" s="22">
        <f>E61</f>
        <v>0.3</v>
      </c>
      <c r="I61" s="120">
        <f t="shared" si="9"/>
        <v>0</v>
      </c>
      <c r="J61" s="93">
        <f t="shared" si="2"/>
        <v>0</v>
      </c>
      <c r="L61" s="6" t="b">
        <f t="shared" si="3"/>
        <v>1</v>
      </c>
    </row>
    <row r="62" spans="1:12" ht="16.5" customHeight="1" x14ac:dyDescent="0.2">
      <c r="A62" s="354"/>
      <c r="B62" s="16" t="s">
        <v>128</v>
      </c>
      <c r="C62" s="118" t="s">
        <v>129</v>
      </c>
      <c r="D62" s="26">
        <v>4889</v>
      </c>
      <c r="E62" s="91">
        <v>0.37</v>
      </c>
      <c r="F62" s="92">
        <v>75</v>
      </c>
      <c r="G62" s="21">
        <f>$F$90</f>
        <v>121</v>
      </c>
      <c r="H62" s="132">
        <f>E62</f>
        <v>0.37</v>
      </c>
      <c r="I62" s="120">
        <f t="shared" si="9"/>
        <v>0</v>
      </c>
      <c r="J62" s="93">
        <f t="shared" si="2"/>
        <v>0</v>
      </c>
      <c r="L62" s="6" t="b">
        <f t="shared" si="3"/>
        <v>1</v>
      </c>
    </row>
    <row r="63" spans="1:12" ht="16.5" customHeight="1" x14ac:dyDescent="0.2">
      <c r="A63" s="354"/>
      <c r="B63" s="16" t="s">
        <v>130</v>
      </c>
      <c r="C63" s="118" t="s">
        <v>131</v>
      </c>
      <c r="D63" s="26">
        <v>9775</v>
      </c>
      <c r="E63" s="91">
        <v>1.44</v>
      </c>
      <c r="F63" s="92">
        <v>147</v>
      </c>
      <c r="G63" s="121">
        <f>$F$90</f>
        <v>121</v>
      </c>
      <c r="H63" s="22">
        <f t="shared" ref="H63" si="25">D63*G63/1000000</f>
        <v>1.1827749999999999</v>
      </c>
      <c r="I63" s="120">
        <f t="shared" si="9"/>
        <v>-0.25722500000000004</v>
      </c>
      <c r="J63" s="93">
        <f t="shared" si="2"/>
        <v>-0.17862847222222225</v>
      </c>
      <c r="L63" s="6" t="b">
        <f t="shared" si="3"/>
        <v>0</v>
      </c>
    </row>
    <row r="64" spans="1:12" ht="16.5" customHeight="1" thickBot="1" x14ac:dyDescent="0.25">
      <c r="A64" s="354"/>
      <c r="B64" s="53" t="s">
        <v>132</v>
      </c>
      <c r="C64" s="130" t="s">
        <v>70</v>
      </c>
      <c r="D64" s="30">
        <v>59307</v>
      </c>
      <c r="E64" s="101">
        <v>2.69</v>
      </c>
      <c r="F64" s="102">
        <f>ROUND((E64/D64)*1000000,0)</f>
        <v>45</v>
      </c>
      <c r="G64" s="124">
        <f>$F$90</f>
        <v>121</v>
      </c>
      <c r="H64" s="34">
        <f>E64</f>
        <v>2.69</v>
      </c>
      <c r="I64" s="114">
        <f t="shared" si="9"/>
        <v>0</v>
      </c>
      <c r="J64" s="103">
        <f t="shared" si="2"/>
        <v>0</v>
      </c>
      <c r="L64" s="6" t="b">
        <f t="shared" si="3"/>
        <v>1</v>
      </c>
    </row>
    <row r="65" spans="1:12" ht="16.5" customHeight="1" thickTop="1" thickBot="1" x14ac:dyDescent="0.25">
      <c r="A65" s="355"/>
      <c r="B65" s="409" t="s">
        <v>133</v>
      </c>
      <c r="C65" s="363"/>
      <c r="D65" s="37">
        <f>SUM(D60:D64)</f>
        <v>97308</v>
      </c>
      <c r="E65" s="104">
        <f>SUM(E60:E64)</f>
        <v>8.26</v>
      </c>
      <c r="F65" s="105" t="s">
        <v>12</v>
      </c>
      <c r="G65" s="80" t="s">
        <v>12</v>
      </c>
      <c r="H65" s="41">
        <f>SUM(H60:H64)</f>
        <v>7.020370999999999</v>
      </c>
      <c r="I65" s="42">
        <f t="shared" si="9"/>
        <v>-1.2396290000000008</v>
      </c>
      <c r="J65" s="43">
        <f t="shared" si="2"/>
        <v>-0.15007615012106548</v>
      </c>
    </row>
    <row r="66" spans="1:12" ht="16.5" customHeight="1" x14ac:dyDescent="0.2">
      <c r="A66" s="361" t="s">
        <v>134</v>
      </c>
      <c r="B66" s="125" t="s">
        <v>135</v>
      </c>
      <c r="C66" s="116" t="s">
        <v>136</v>
      </c>
      <c r="D66" s="46">
        <v>959</v>
      </c>
      <c r="E66" s="108">
        <v>0.08</v>
      </c>
      <c r="F66" s="109">
        <v>88</v>
      </c>
      <c r="G66" s="49">
        <f>$F$90</f>
        <v>121</v>
      </c>
      <c r="H66" s="50">
        <f t="shared" ref="H66:H72" si="26">E66</f>
        <v>0.08</v>
      </c>
      <c r="I66" s="110">
        <f t="shared" si="9"/>
        <v>0</v>
      </c>
      <c r="J66" s="111">
        <f t="shared" si="2"/>
        <v>0</v>
      </c>
      <c r="L66" s="6" t="b">
        <f t="shared" si="3"/>
        <v>1</v>
      </c>
    </row>
    <row r="67" spans="1:12" ht="16.5" customHeight="1" x14ac:dyDescent="0.2">
      <c r="A67" s="354"/>
      <c r="B67" s="16" t="s">
        <v>137</v>
      </c>
      <c r="C67" s="118">
        <v>1627</v>
      </c>
      <c r="D67" s="26">
        <v>1805</v>
      </c>
      <c r="E67" s="91">
        <v>0.17</v>
      </c>
      <c r="F67" s="92">
        <v>96</v>
      </c>
      <c r="G67" s="121">
        <f>$F$90</f>
        <v>121</v>
      </c>
      <c r="H67" s="22">
        <f t="shared" si="26"/>
        <v>0.17</v>
      </c>
      <c r="I67" s="120">
        <f t="shared" si="9"/>
        <v>0</v>
      </c>
      <c r="J67" s="93">
        <f t="shared" si="2"/>
        <v>0</v>
      </c>
      <c r="L67" s="6" t="b">
        <f t="shared" si="3"/>
        <v>1</v>
      </c>
    </row>
    <row r="68" spans="1:12" ht="16.5" customHeight="1" x14ac:dyDescent="0.2">
      <c r="A68" s="354"/>
      <c r="B68" s="16" t="s">
        <v>138</v>
      </c>
      <c r="C68" s="118">
        <v>7961</v>
      </c>
      <c r="D68" s="26">
        <v>1650</v>
      </c>
      <c r="E68" s="91">
        <v>0.15</v>
      </c>
      <c r="F68" s="92">
        <v>90</v>
      </c>
      <c r="G68" s="124">
        <f>$F$90</f>
        <v>121</v>
      </c>
      <c r="H68" s="75">
        <f t="shared" si="26"/>
        <v>0.15</v>
      </c>
      <c r="I68" s="120">
        <f t="shared" si="9"/>
        <v>0</v>
      </c>
      <c r="J68" s="93">
        <f t="shared" si="2"/>
        <v>0</v>
      </c>
      <c r="L68" s="6" t="b">
        <f t="shared" si="3"/>
        <v>1</v>
      </c>
    </row>
    <row r="69" spans="1:12" ht="16.5" customHeight="1" x14ac:dyDescent="0.2">
      <c r="A69" s="354"/>
      <c r="B69" s="16" t="s">
        <v>139</v>
      </c>
      <c r="C69" s="118">
        <v>7981</v>
      </c>
      <c r="D69" s="26">
        <v>1001</v>
      </c>
      <c r="E69" s="91">
        <v>7.0000000000000007E-2</v>
      </c>
      <c r="F69" s="92">
        <v>69</v>
      </c>
      <c r="G69" s="21">
        <f t="shared" ref="G69:G72" si="27">$F$90</f>
        <v>121</v>
      </c>
      <c r="H69" s="22">
        <f t="shared" si="26"/>
        <v>7.0000000000000007E-2</v>
      </c>
      <c r="I69" s="120">
        <f t="shared" si="9"/>
        <v>0</v>
      </c>
      <c r="J69" s="93">
        <f t="shared" si="2"/>
        <v>0</v>
      </c>
      <c r="L69" s="6" t="b">
        <f t="shared" si="3"/>
        <v>1</v>
      </c>
    </row>
    <row r="70" spans="1:12" ht="16.5" customHeight="1" x14ac:dyDescent="0.2">
      <c r="A70" s="354"/>
      <c r="B70" s="126" t="s">
        <v>140</v>
      </c>
      <c r="C70" s="107">
        <v>8114</v>
      </c>
      <c r="D70" s="94">
        <v>12053</v>
      </c>
      <c r="E70" s="95">
        <v>1.28</v>
      </c>
      <c r="F70" s="96">
        <v>106</v>
      </c>
      <c r="G70" s="21">
        <f t="shared" si="27"/>
        <v>121</v>
      </c>
      <c r="H70" s="97">
        <f t="shared" si="26"/>
        <v>1.28</v>
      </c>
      <c r="I70" s="122">
        <f t="shared" si="9"/>
        <v>0</v>
      </c>
      <c r="J70" s="93">
        <f t="shared" si="2"/>
        <v>0</v>
      </c>
      <c r="L70" s="6" t="b">
        <f t="shared" ref="L70:L72" si="28">IF(F70="N/A","N/A",F70&lt;G70)</f>
        <v>1</v>
      </c>
    </row>
    <row r="71" spans="1:12" ht="16.5" customHeight="1" x14ac:dyDescent="0.2">
      <c r="A71" s="354"/>
      <c r="B71" s="16" t="s">
        <v>141</v>
      </c>
      <c r="C71" s="133">
        <v>8168</v>
      </c>
      <c r="D71" s="134">
        <v>2668</v>
      </c>
      <c r="E71" s="91">
        <v>0.15</v>
      </c>
      <c r="F71" s="92">
        <v>55</v>
      </c>
      <c r="G71" s="121">
        <f t="shared" si="27"/>
        <v>121</v>
      </c>
      <c r="H71" s="22">
        <f t="shared" si="26"/>
        <v>0.15</v>
      </c>
      <c r="I71" s="120">
        <f t="shared" si="9"/>
        <v>0</v>
      </c>
      <c r="J71" s="93">
        <f t="shared" si="2"/>
        <v>0</v>
      </c>
      <c r="L71" s="6" t="b">
        <f t="shared" si="28"/>
        <v>1</v>
      </c>
    </row>
    <row r="72" spans="1:12" ht="16.5" customHeight="1" thickBot="1" x14ac:dyDescent="0.25">
      <c r="A72" s="354"/>
      <c r="B72" s="126" t="s">
        <v>142</v>
      </c>
      <c r="C72" s="107">
        <v>92165</v>
      </c>
      <c r="D72" s="30">
        <v>2857</v>
      </c>
      <c r="E72" s="101">
        <v>0.28000000000000003</v>
      </c>
      <c r="F72" s="102">
        <v>98</v>
      </c>
      <c r="G72" s="124">
        <f t="shared" si="27"/>
        <v>121</v>
      </c>
      <c r="H72" s="34">
        <f t="shared" si="26"/>
        <v>0.28000000000000003</v>
      </c>
      <c r="I72" s="114">
        <f t="shared" si="9"/>
        <v>0</v>
      </c>
      <c r="J72" s="103">
        <f t="shared" si="2"/>
        <v>0</v>
      </c>
      <c r="L72" s="6" t="b">
        <f t="shared" si="28"/>
        <v>1</v>
      </c>
    </row>
    <row r="73" spans="1:12" ht="16.5" customHeight="1" thickTop="1" thickBot="1" x14ac:dyDescent="0.25">
      <c r="A73" s="355"/>
      <c r="B73" s="372" t="s">
        <v>143</v>
      </c>
      <c r="C73" s="373"/>
      <c r="D73" s="37">
        <f>SUM(D66:D72)</f>
        <v>22993</v>
      </c>
      <c r="E73" s="104">
        <f>SUM(E66:E72)</f>
        <v>2.1799999999999997</v>
      </c>
      <c r="F73" s="105" t="s">
        <v>12</v>
      </c>
      <c r="G73" s="80" t="s">
        <v>12</v>
      </c>
      <c r="H73" s="41">
        <f>SUM(H66:H72)</f>
        <v>2.1799999999999997</v>
      </c>
      <c r="I73" s="42">
        <f t="shared" si="9"/>
        <v>0</v>
      </c>
      <c r="J73" s="43">
        <f t="shared" si="2"/>
        <v>0</v>
      </c>
    </row>
    <row r="74" spans="1:12" ht="16.5" customHeight="1" x14ac:dyDescent="0.2">
      <c r="A74" s="361" t="s">
        <v>144</v>
      </c>
      <c r="B74" s="131" t="s">
        <v>145</v>
      </c>
      <c r="C74" s="85">
        <v>157</v>
      </c>
      <c r="D74" s="46">
        <v>5077</v>
      </c>
      <c r="E74" s="108">
        <v>0.69</v>
      </c>
      <c r="F74" s="109">
        <v>136</v>
      </c>
      <c r="G74" s="121">
        <f t="shared" ref="G74:G80" si="29">$F$90</f>
        <v>121</v>
      </c>
      <c r="H74" s="50">
        <f t="shared" ref="H74" si="30">D74*G74/1000000</f>
        <v>0.614317</v>
      </c>
      <c r="I74" s="110">
        <f t="shared" si="9"/>
        <v>-7.5682999999999945E-2</v>
      </c>
      <c r="J74" s="111">
        <f t="shared" si="2"/>
        <v>-0.10968550724637674</v>
      </c>
      <c r="L74" s="6" t="b">
        <f t="shared" ref="L74:L80" si="31">IF(F74="N/A","N/A",F74&lt;G74)</f>
        <v>0</v>
      </c>
    </row>
    <row r="75" spans="1:12" ht="16.5" customHeight="1" x14ac:dyDescent="0.2">
      <c r="A75" s="354"/>
      <c r="B75" s="135" t="s">
        <v>146</v>
      </c>
      <c r="C75" s="107">
        <v>324</v>
      </c>
      <c r="D75" s="26">
        <v>933</v>
      </c>
      <c r="E75" s="91">
        <v>0.06</v>
      </c>
      <c r="F75" s="92">
        <v>68</v>
      </c>
      <c r="G75" s="21">
        <f t="shared" si="29"/>
        <v>121</v>
      </c>
      <c r="H75" s="22">
        <f>E75</f>
        <v>0.06</v>
      </c>
      <c r="I75" s="120">
        <f t="shared" si="9"/>
        <v>0</v>
      </c>
      <c r="J75" s="93">
        <f t="shared" si="2"/>
        <v>0</v>
      </c>
      <c r="L75" s="6" t="b">
        <f t="shared" si="31"/>
        <v>1</v>
      </c>
    </row>
    <row r="76" spans="1:12" ht="16.5" customHeight="1" x14ac:dyDescent="0.2">
      <c r="A76" s="354"/>
      <c r="B76" s="16" t="s">
        <v>147</v>
      </c>
      <c r="C76" s="133">
        <v>1142</v>
      </c>
      <c r="D76" s="26">
        <v>33776</v>
      </c>
      <c r="E76" s="91">
        <v>8.4</v>
      </c>
      <c r="F76" s="92">
        <f>ROUND((E76/D76)*1000000,0)</f>
        <v>249</v>
      </c>
      <c r="G76" s="121">
        <f t="shared" si="29"/>
        <v>121</v>
      </c>
      <c r="H76" s="22">
        <f t="shared" ref="H76" si="32">D76*G76/1000000</f>
        <v>4.0868960000000003</v>
      </c>
      <c r="I76" s="120">
        <f t="shared" si="9"/>
        <v>-4.313104</v>
      </c>
      <c r="J76" s="93">
        <f t="shared" si="2"/>
        <v>-0.51346476190476187</v>
      </c>
      <c r="L76" s="6" t="b">
        <f t="shared" si="31"/>
        <v>0</v>
      </c>
    </row>
    <row r="77" spans="1:12" ht="16.5" customHeight="1" x14ac:dyDescent="0.2">
      <c r="A77" s="354"/>
      <c r="B77" s="16" t="s">
        <v>148</v>
      </c>
      <c r="C77" s="133">
        <v>1198</v>
      </c>
      <c r="D77" s="136">
        <v>195538</v>
      </c>
      <c r="E77" s="91">
        <v>15.2</v>
      </c>
      <c r="F77" s="92">
        <f>ROUND((E77/D77)*1000000,0)</f>
        <v>78</v>
      </c>
      <c r="G77" s="21">
        <f t="shared" si="29"/>
        <v>121</v>
      </c>
      <c r="H77" s="97">
        <f>E77</f>
        <v>15.2</v>
      </c>
      <c r="I77" s="120">
        <f t="shared" si="9"/>
        <v>0</v>
      </c>
      <c r="J77" s="127">
        <f t="shared" si="2"/>
        <v>0</v>
      </c>
      <c r="K77" s="128"/>
      <c r="L77" s="6" t="b">
        <f t="shared" si="31"/>
        <v>1</v>
      </c>
    </row>
    <row r="78" spans="1:12" ht="16.5" customHeight="1" x14ac:dyDescent="0.2">
      <c r="A78" s="354"/>
      <c r="B78" s="16" t="s">
        <v>148</v>
      </c>
      <c r="C78" s="133">
        <v>1392</v>
      </c>
      <c r="D78" s="26">
        <v>2862</v>
      </c>
      <c r="E78" s="91">
        <v>0.08</v>
      </c>
      <c r="F78" s="92">
        <f>ROUND((E78/D78)*1000000,0)</f>
        <v>28</v>
      </c>
      <c r="G78" s="21">
        <f t="shared" si="29"/>
        <v>121</v>
      </c>
      <c r="H78" s="22">
        <f>E78</f>
        <v>0.08</v>
      </c>
      <c r="I78" s="120">
        <f t="shared" si="9"/>
        <v>0</v>
      </c>
      <c r="J78" s="93">
        <f t="shared" si="2"/>
        <v>0</v>
      </c>
      <c r="L78" s="6" t="b">
        <f t="shared" si="31"/>
        <v>1</v>
      </c>
    </row>
    <row r="79" spans="1:12" ht="16.5" customHeight="1" x14ac:dyDescent="0.2">
      <c r="A79" s="354"/>
      <c r="B79" s="16" t="s">
        <v>149</v>
      </c>
      <c r="C79" s="133">
        <v>50299</v>
      </c>
      <c r="D79" s="26">
        <v>43975</v>
      </c>
      <c r="E79" s="91">
        <v>4.93</v>
      </c>
      <c r="F79" s="92">
        <v>112</v>
      </c>
      <c r="G79" s="21">
        <f t="shared" si="29"/>
        <v>121</v>
      </c>
      <c r="H79" s="22">
        <f>E79</f>
        <v>4.93</v>
      </c>
      <c r="I79" s="120">
        <f t="shared" si="9"/>
        <v>0</v>
      </c>
      <c r="J79" s="93">
        <f t="shared" si="2"/>
        <v>0</v>
      </c>
      <c r="L79" s="6" t="b">
        <f t="shared" si="31"/>
        <v>1</v>
      </c>
    </row>
    <row r="80" spans="1:12" ht="16.5" customHeight="1" thickBot="1" x14ac:dyDescent="0.25">
      <c r="A80" s="354"/>
      <c r="B80" s="126" t="s">
        <v>150</v>
      </c>
      <c r="C80" s="107">
        <v>88271</v>
      </c>
      <c r="D80" s="30">
        <v>155377</v>
      </c>
      <c r="E80" s="101">
        <v>6.5</v>
      </c>
      <c r="F80" s="102">
        <f>ROUND((E80/D80)*1000000,0)</f>
        <v>42</v>
      </c>
      <c r="G80" s="121">
        <f t="shared" si="29"/>
        <v>121</v>
      </c>
      <c r="H80" s="75">
        <f>E80</f>
        <v>6.5</v>
      </c>
      <c r="I80" s="114">
        <f t="shared" si="9"/>
        <v>0</v>
      </c>
      <c r="J80" s="103">
        <f t="shared" si="2"/>
        <v>0</v>
      </c>
      <c r="L80" s="6" t="b">
        <f t="shared" si="31"/>
        <v>1</v>
      </c>
    </row>
    <row r="81" spans="1:12" ht="16.5" customHeight="1" thickTop="1" thickBot="1" x14ac:dyDescent="0.25">
      <c r="A81" s="355"/>
      <c r="B81" s="372" t="s">
        <v>151</v>
      </c>
      <c r="C81" s="373"/>
      <c r="D81" s="37">
        <f>SUM(D74:D80)</f>
        <v>437538</v>
      </c>
      <c r="E81" s="104">
        <f>SUM(E74:E80)</f>
        <v>35.86</v>
      </c>
      <c r="F81" s="105" t="s">
        <v>12</v>
      </c>
      <c r="G81" s="80" t="s">
        <v>12</v>
      </c>
      <c r="H81" s="41">
        <f>SUM(H74:H80)</f>
        <v>31.471212999999999</v>
      </c>
      <c r="I81" s="42">
        <f t="shared" si="9"/>
        <v>-4.3887870000000007</v>
      </c>
      <c r="J81" s="43">
        <f t="shared" si="2"/>
        <v>-0.12238669827105413</v>
      </c>
    </row>
    <row r="82" spans="1:12" ht="16.5" customHeight="1" x14ac:dyDescent="0.2">
      <c r="A82" s="361" t="s">
        <v>152</v>
      </c>
      <c r="B82" s="84" t="s">
        <v>153</v>
      </c>
      <c r="C82" s="116">
        <v>216507</v>
      </c>
      <c r="D82" s="46">
        <v>613</v>
      </c>
      <c r="E82" s="108">
        <v>0.05</v>
      </c>
      <c r="F82" s="109">
        <v>79</v>
      </c>
      <c r="G82" s="49">
        <f t="shared" ref="G82:G85" si="33">$F$91</f>
        <v>142</v>
      </c>
      <c r="H82" s="50">
        <f>E82</f>
        <v>0.05</v>
      </c>
      <c r="I82" s="110">
        <f t="shared" si="9"/>
        <v>0</v>
      </c>
      <c r="J82" s="111">
        <f t="shared" si="2"/>
        <v>0</v>
      </c>
      <c r="L82" s="6" t="b">
        <f t="shared" ref="L82:L85" si="34">IF(F82="N/A","N/A",F82&lt;G82)</f>
        <v>1</v>
      </c>
    </row>
    <row r="83" spans="1:12" ht="16.5" customHeight="1" x14ac:dyDescent="0.2">
      <c r="A83" s="354"/>
      <c r="B83" s="90" t="s">
        <v>154</v>
      </c>
      <c r="C83" s="107">
        <v>216658</v>
      </c>
      <c r="D83" s="26">
        <v>927</v>
      </c>
      <c r="E83" s="91">
        <v>0.11</v>
      </c>
      <c r="F83" s="92">
        <v>120</v>
      </c>
      <c r="G83" s="21">
        <f t="shared" si="33"/>
        <v>142</v>
      </c>
      <c r="H83" s="22">
        <f>E83</f>
        <v>0.11</v>
      </c>
      <c r="I83" s="120">
        <f t="shared" si="9"/>
        <v>0</v>
      </c>
      <c r="J83" s="93">
        <f t="shared" si="2"/>
        <v>0</v>
      </c>
      <c r="L83" s="6" t="b">
        <f t="shared" si="34"/>
        <v>1</v>
      </c>
    </row>
    <row r="84" spans="1:12" ht="16.5" customHeight="1" x14ac:dyDescent="0.2">
      <c r="A84" s="354"/>
      <c r="B84" s="90" t="s">
        <v>155</v>
      </c>
      <c r="C84" s="133">
        <v>219527</v>
      </c>
      <c r="D84" s="26">
        <v>1579</v>
      </c>
      <c r="E84" s="91">
        <v>0.31</v>
      </c>
      <c r="F84" s="92">
        <v>199</v>
      </c>
      <c r="G84" s="21">
        <f t="shared" si="33"/>
        <v>142</v>
      </c>
      <c r="H84" s="22">
        <f t="shared" ref="H84:H85" si="35">D84*G84/1000000</f>
        <v>0.224218</v>
      </c>
      <c r="I84" s="120">
        <f t="shared" si="9"/>
        <v>-8.5781999999999997E-2</v>
      </c>
      <c r="J84" s="93">
        <f t="shared" si="2"/>
        <v>-0.27671612903225806</v>
      </c>
      <c r="L84" s="6" t="b">
        <f t="shared" si="34"/>
        <v>0</v>
      </c>
    </row>
    <row r="85" spans="1:12" ht="16.5" customHeight="1" thickBot="1" x14ac:dyDescent="0.25">
      <c r="A85" s="354"/>
      <c r="B85" s="53" t="s">
        <v>156</v>
      </c>
      <c r="C85" s="129">
        <v>220612</v>
      </c>
      <c r="D85" s="137">
        <v>7319</v>
      </c>
      <c r="E85" s="101">
        <v>1.4</v>
      </c>
      <c r="F85" s="102">
        <v>191</v>
      </c>
      <c r="G85" s="33">
        <f t="shared" si="33"/>
        <v>142</v>
      </c>
      <c r="H85" s="34">
        <f t="shared" si="35"/>
        <v>1.0392980000000001</v>
      </c>
      <c r="I85" s="114">
        <f t="shared" si="9"/>
        <v>-0.36070199999999986</v>
      </c>
      <c r="J85" s="103">
        <f t="shared" si="2"/>
        <v>-0.2576442857142856</v>
      </c>
      <c r="L85" s="6" t="b">
        <f t="shared" si="34"/>
        <v>0</v>
      </c>
    </row>
    <row r="86" spans="1:12" ht="16.5" customHeight="1" thickTop="1" thickBot="1" x14ac:dyDescent="0.25">
      <c r="A86" s="355"/>
      <c r="B86" s="409" t="s">
        <v>157</v>
      </c>
      <c r="C86" s="363"/>
      <c r="D86" s="37">
        <f>SUM(D82:D85)</f>
        <v>10438</v>
      </c>
      <c r="E86" s="104">
        <f>SUM(E82:E85)</f>
        <v>1.8699999999999999</v>
      </c>
      <c r="F86" s="105" t="s">
        <v>12</v>
      </c>
      <c r="G86" s="106" t="s">
        <v>12</v>
      </c>
      <c r="H86" s="41">
        <f>SUM(H82:H85)</f>
        <v>1.423516</v>
      </c>
      <c r="I86" s="42">
        <f t="shared" si="9"/>
        <v>-0.44648399999999988</v>
      </c>
      <c r="J86" s="43">
        <f t="shared" si="2"/>
        <v>-0.23876149732620316</v>
      </c>
    </row>
    <row r="87" spans="1:12" ht="16.5" customHeight="1" thickBot="1" x14ac:dyDescent="0.25">
      <c r="A87" s="361" t="s">
        <v>158</v>
      </c>
      <c r="B87" s="138" t="s">
        <v>159</v>
      </c>
      <c r="C87" s="139">
        <v>220148</v>
      </c>
      <c r="D87" s="140">
        <v>1905</v>
      </c>
      <c r="E87" s="95">
        <v>0.25</v>
      </c>
      <c r="F87" s="141">
        <v>129</v>
      </c>
      <c r="G87" s="121">
        <f>$F$91</f>
        <v>142</v>
      </c>
      <c r="H87" s="70">
        <f>E87</f>
        <v>0.25</v>
      </c>
      <c r="I87" s="142">
        <f t="shared" si="9"/>
        <v>0</v>
      </c>
      <c r="J87" s="143">
        <f t="shared" si="2"/>
        <v>0</v>
      </c>
      <c r="L87" s="6" t="b">
        <f t="shared" ref="L87" si="36">IF(F87="N/A","N/A",F87&lt;G87)</f>
        <v>1</v>
      </c>
    </row>
    <row r="88" spans="1:12" ht="16.5" customHeight="1" thickTop="1" thickBot="1" x14ac:dyDescent="0.25">
      <c r="A88" s="355"/>
      <c r="B88" s="372" t="s">
        <v>160</v>
      </c>
      <c r="C88" s="373"/>
      <c r="D88" s="37">
        <f>SUM(D87)</f>
        <v>1905</v>
      </c>
      <c r="E88" s="78">
        <f>SUM(E87)</f>
        <v>0.25</v>
      </c>
      <c r="F88" s="105" t="s">
        <v>12</v>
      </c>
      <c r="G88" s="80" t="s">
        <v>12</v>
      </c>
      <c r="H88" s="41">
        <f>SUM(H87)</f>
        <v>0.25</v>
      </c>
      <c r="I88" s="42">
        <f t="shared" si="9"/>
        <v>0</v>
      </c>
      <c r="J88" s="43">
        <f t="shared" si="2"/>
        <v>0</v>
      </c>
    </row>
    <row r="89" spans="1:12" ht="13.5" thickBot="1" x14ac:dyDescent="0.25">
      <c r="A89" s="404" t="s">
        <v>161</v>
      </c>
      <c r="B89" s="405"/>
      <c r="C89" s="406"/>
      <c r="D89" s="144">
        <f>D10+D16+D19+D21+D24+D29+D33+D42+D51+D54+D59+D65+D73+D81+D86+D88</f>
        <v>2378947</v>
      </c>
      <c r="E89" s="335">
        <f>E10+E16+E19+E21+E24+E29+E33+E42+E51+E54+E59+E65+E73+E81+E86+E88</f>
        <v>287.88</v>
      </c>
      <c r="F89" s="145" t="s">
        <v>12</v>
      </c>
      <c r="G89" s="106" t="s">
        <v>12</v>
      </c>
      <c r="H89" s="41">
        <f>H10+H16+H19+H21+H24+H29+H33+H42+H51+H54+H59+H65+H73+H81+H86+H88</f>
        <v>248.97206600000001</v>
      </c>
      <c r="I89" s="42">
        <f t="shared" si="1"/>
        <v>-38.907933999999983</v>
      </c>
      <c r="J89" s="43">
        <f t="shared" si="2"/>
        <v>-0.13515330693344443</v>
      </c>
    </row>
    <row r="90" spans="1:12" ht="13.5" thickBot="1" x14ac:dyDescent="0.25">
      <c r="A90" s="146"/>
      <c r="B90" s="146"/>
      <c r="C90" s="369" t="s">
        <v>162</v>
      </c>
      <c r="D90" s="370"/>
      <c r="E90" s="371"/>
      <c r="F90" s="147">
        <v>121</v>
      </c>
    </row>
    <row r="91" spans="1:12" ht="13.5" thickBot="1" x14ac:dyDescent="0.25">
      <c r="A91" s="146"/>
      <c r="B91" s="146"/>
      <c r="C91" s="408" t="s">
        <v>163</v>
      </c>
      <c r="D91" s="408"/>
      <c r="E91" s="408"/>
      <c r="F91" s="147">
        <v>142</v>
      </c>
    </row>
    <row r="92" spans="1:12" x14ac:dyDescent="0.2">
      <c r="A92" s="148" t="s">
        <v>20</v>
      </c>
    </row>
    <row r="93" spans="1:12" x14ac:dyDescent="0.2">
      <c r="A93" s="6" t="s">
        <v>164</v>
      </c>
      <c r="B93" s="149"/>
      <c r="C93" s="149"/>
      <c r="D93" s="149"/>
      <c r="G93" s="5" t="s">
        <v>39</v>
      </c>
    </row>
    <row r="94" spans="1:12" x14ac:dyDescent="0.2">
      <c r="A94" s="6" t="s">
        <v>224</v>
      </c>
      <c r="B94" s="149"/>
      <c r="C94" s="149"/>
      <c r="D94" s="149"/>
    </row>
    <row r="96" spans="1:12" ht="25.5" customHeight="1" thickBot="1" x14ac:dyDescent="0.25">
      <c r="A96" s="407" t="s">
        <v>165</v>
      </c>
      <c r="B96" s="407"/>
      <c r="C96" s="407"/>
      <c r="D96" s="407"/>
      <c r="E96" s="407"/>
      <c r="F96" s="407"/>
      <c r="G96" s="407"/>
      <c r="H96" s="407"/>
      <c r="I96" s="407"/>
      <c r="J96" s="407"/>
    </row>
    <row r="97" spans="1:12" ht="27.75" customHeight="1" x14ac:dyDescent="0.2">
      <c r="A97" s="389" t="s">
        <v>29</v>
      </c>
      <c r="B97" s="392" t="s">
        <v>30</v>
      </c>
      <c r="C97" s="395" t="s">
        <v>166</v>
      </c>
      <c r="D97" s="398" t="s">
        <v>32</v>
      </c>
      <c r="E97" s="401" t="s">
        <v>167</v>
      </c>
      <c r="F97" s="374" t="s">
        <v>34</v>
      </c>
      <c r="G97" s="377" t="s">
        <v>168</v>
      </c>
      <c r="H97" s="380" t="s">
        <v>169</v>
      </c>
      <c r="I97" s="383" t="s">
        <v>37</v>
      </c>
      <c r="J97" s="386" t="s">
        <v>38</v>
      </c>
    </row>
    <row r="98" spans="1:12" ht="18.75" customHeight="1" x14ac:dyDescent="0.2">
      <c r="A98" s="390"/>
      <c r="B98" s="393"/>
      <c r="C98" s="396"/>
      <c r="D98" s="399"/>
      <c r="E98" s="402"/>
      <c r="F98" s="375"/>
      <c r="G98" s="378"/>
      <c r="H98" s="381"/>
      <c r="I98" s="384"/>
      <c r="J98" s="387"/>
    </row>
    <row r="99" spans="1:12" ht="11.25" customHeight="1" thickBot="1" x14ac:dyDescent="0.25">
      <c r="A99" s="391"/>
      <c r="B99" s="394"/>
      <c r="C99" s="397"/>
      <c r="D99" s="400"/>
      <c r="E99" s="403"/>
      <c r="F99" s="376"/>
      <c r="G99" s="379"/>
      <c r="H99" s="382"/>
      <c r="I99" s="385"/>
      <c r="J99" s="388"/>
    </row>
    <row r="100" spans="1:12" ht="13.5" customHeight="1" thickTop="1" x14ac:dyDescent="0.2">
      <c r="A100" s="353" t="s">
        <v>170</v>
      </c>
      <c r="B100" s="150" t="s">
        <v>171</v>
      </c>
      <c r="C100" s="151">
        <v>216823</v>
      </c>
      <c r="D100" s="9">
        <v>2267</v>
      </c>
      <c r="E100" s="152">
        <v>0.75</v>
      </c>
      <c r="F100" s="153">
        <v>331</v>
      </c>
      <c r="G100" s="154">
        <f t="shared" ref="G100:G122" si="37">$F$124</f>
        <v>174</v>
      </c>
      <c r="H100" s="75">
        <f t="shared" ref="H100:H102" si="38">D100*G100/1000000</f>
        <v>0.39445799999999998</v>
      </c>
      <c r="I100" s="61">
        <f t="shared" ref="I100:I123" si="39">H100-E100</f>
        <v>-0.35554200000000002</v>
      </c>
      <c r="J100" s="62">
        <f t="shared" ref="J100:J122" si="40">I100/E100</f>
        <v>-0.47405600000000003</v>
      </c>
      <c r="L100" s="6" t="b">
        <f t="shared" ref="L100:L103" si="41">IF(F100="N/A","N/A",F100&lt;G100)</f>
        <v>0</v>
      </c>
    </row>
    <row r="101" spans="1:12" x14ac:dyDescent="0.2">
      <c r="A101" s="354"/>
      <c r="B101" s="155" t="s">
        <v>172</v>
      </c>
      <c r="C101" s="156">
        <v>216831</v>
      </c>
      <c r="D101" s="157">
        <v>302</v>
      </c>
      <c r="E101" s="158">
        <v>7.0000000000000007E-2</v>
      </c>
      <c r="F101" s="159">
        <v>239</v>
      </c>
      <c r="G101" s="160">
        <f t="shared" si="37"/>
        <v>174</v>
      </c>
      <c r="H101" s="27">
        <f t="shared" si="38"/>
        <v>5.2547999999999997E-2</v>
      </c>
      <c r="I101" s="23">
        <f t="shared" si="39"/>
        <v>-1.7452000000000009E-2</v>
      </c>
      <c r="J101" s="24">
        <f t="shared" si="40"/>
        <v>-0.24931428571428582</v>
      </c>
      <c r="L101" s="6" t="b">
        <f t="shared" si="41"/>
        <v>0</v>
      </c>
    </row>
    <row r="102" spans="1:12" x14ac:dyDescent="0.2">
      <c r="A102" s="354"/>
      <c r="B102" s="25" t="s">
        <v>173</v>
      </c>
      <c r="C102" s="161">
        <v>217129</v>
      </c>
      <c r="D102" s="162">
        <v>167</v>
      </c>
      <c r="E102" s="163">
        <v>0.05</v>
      </c>
      <c r="F102" s="164">
        <v>276</v>
      </c>
      <c r="G102" s="160">
        <f t="shared" si="37"/>
        <v>174</v>
      </c>
      <c r="H102" s="27">
        <f t="shared" si="38"/>
        <v>2.9058E-2</v>
      </c>
      <c r="I102" s="23">
        <f t="shared" si="39"/>
        <v>-2.0942000000000002E-2</v>
      </c>
      <c r="J102" s="24">
        <f t="shared" si="40"/>
        <v>-0.41884000000000005</v>
      </c>
      <c r="L102" s="6" t="b">
        <f t="shared" si="41"/>
        <v>0</v>
      </c>
    </row>
    <row r="103" spans="1:12" ht="13.5" thickBot="1" x14ac:dyDescent="0.25">
      <c r="A103" s="354"/>
      <c r="B103" s="165" t="s">
        <v>174</v>
      </c>
      <c r="C103" s="166">
        <v>220310</v>
      </c>
      <c r="D103" s="167">
        <v>425</v>
      </c>
      <c r="E103" s="168">
        <v>0</v>
      </c>
      <c r="F103" s="169">
        <v>0</v>
      </c>
      <c r="G103" s="170">
        <f t="shared" si="37"/>
        <v>174</v>
      </c>
      <c r="H103" s="171">
        <f>E103</f>
        <v>0</v>
      </c>
      <c r="I103" s="35" t="s">
        <v>12</v>
      </c>
      <c r="J103" s="36" t="s">
        <v>12</v>
      </c>
      <c r="L103" s="6" t="b">
        <f t="shared" si="41"/>
        <v>1</v>
      </c>
    </row>
    <row r="104" spans="1:12" ht="14.25" thickTop="1" thickBot="1" x14ac:dyDescent="0.25">
      <c r="A104" s="355"/>
      <c r="B104" s="356" t="s">
        <v>175</v>
      </c>
      <c r="C104" s="357"/>
      <c r="D104" s="172">
        <f>SUM(D100:D103)</f>
        <v>3161</v>
      </c>
      <c r="E104" s="173">
        <f>SUM(E100:E103)</f>
        <v>0.87000000000000011</v>
      </c>
      <c r="F104" s="174" t="s">
        <v>12</v>
      </c>
      <c r="G104" s="175">
        <f t="shared" si="37"/>
        <v>174</v>
      </c>
      <c r="H104" s="176">
        <f>SUM(H100:H103)</f>
        <v>0.47606399999999993</v>
      </c>
      <c r="I104" s="42">
        <f t="shared" si="39"/>
        <v>-0.39393600000000017</v>
      </c>
      <c r="J104" s="43">
        <f t="shared" si="40"/>
        <v>-0.45280000000000015</v>
      </c>
    </row>
    <row r="105" spans="1:12" ht="25.5" customHeight="1" thickBot="1" x14ac:dyDescent="0.25">
      <c r="A105" s="361" t="s">
        <v>176</v>
      </c>
      <c r="B105" s="177" t="s">
        <v>177</v>
      </c>
      <c r="C105" s="178">
        <v>218662</v>
      </c>
      <c r="D105" s="179">
        <v>644</v>
      </c>
      <c r="E105" s="180">
        <v>0</v>
      </c>
      <c r="F105" s="181" t="s">
        <v>12</v>
      </c>
      <c r="G105" s="182">
        <f t="shared" si="37"/>
        <v>174</v>
      </c>
      <c r="H105" s="183">
        <f>E105</f>
        <v>0</v>
      </c>
      <c r="I105" s="142" t="s">
        <v>12</v>
      </c>
      <c r="J105" s="143" t="s">
        <v>12</v>
      </c>
      <c r="L105" s="6" t="str">
        <f t="shared" ref="L105" si="42">IF(F105="N/A","N/A",F105&lt;G105)</f>
        <v>N/A</v>
      </c>
    </row>
    <row r="106" spans="1:12" ht="14.25" thickTop="1" thickBot="1" x14ac:dyDescent="0.25">
      <c r="A106" s="355"/>
      <c r="B106" s="372" t="s">
        <v>178</v>
      </c>
      <c r="C106" s="373"/>
      <c r="D106" s="184">
        <f>SUM(D105)</f>
        <v>644</v>
      </c>
      <c r="E106" s="54">
        <f>SUM(E105)</f>
        <v>0</v>
      </c>
      <c r="F106" s="174" t="s">
        <v>12</v>
      </c>
      <c r="G106" s="175">
        <f t="shared" si="37"/>
        <v>174</v>
      </c>
      <c r="H106" s="176">
        <f>SUM(H105)</f>
        <v>0</v>
      </c>
      <c r="I106" s="42" t="s">
        <v>12</v>
      </c>
      <c r="J106" s="43" t="s">
        <v>12</v>
      </c>
    </row>
    <row r="107" spans="1:12" ht="12.75" customHeight="1" thickBot="1" x14ac:dyDescent="0.25">
      <c r="A107" s="354" t="s">
        <v>179</v>
      </c>
      <c r="B107" s="185" t="s">
        <v>180</v>
      </c>
      <c r="C107" s="186">
        <v>216851</v>
      </c>
      <c r="D107" s="187">
        <v>1214</v>
      </c>
      <c r="E107" s="180">
        <v>0.16</v>
      </c>
      <c r="F107" s="181">
        <v>133</v>
      </c>
      <c r="G107" s="182">
        <f t="shared" si="37"/>
        <v>174</v>
      </c>
      <c r="H107" s="183">
        <f t="shared" ref="H107:H112" si="43">E107</f>
        <v>0.16</v>
      </c>
      <c r="I107" s="71">
        <f t="shared" si="39"/>
        <v>0</v>
      </c>
      <c r="J107" s="72">
        <f t="shared" si="40"/>
        <v>0</v>
      </c>
      <c r="L107" s="6" t="b">
        <f t="shared" ref="L107" si="44">IF(F107="N/A","N/A",F107&lt;G107)</f>
        <v>1</v>
      </c>
    </row>
    <row r="108" spans="1:12" ht="14.25" thickTop="1" thickBot="1" x14ac:dyDescent="0.25">
      <c r="A108" s="354"/>
      <c r="B108" s="359" t="s">
        <v>181</v>
      </c>
      <c r="C108" s="360"/>
      <c r="D108" s="172">
        <f>SUM(D107)</f>
        <v>1214</v>
      </c>
      <c r="E108" s="173">
        <f>SUM(E107)</f>
        <v>0.16</v>
      </c>
      <c r="F108" s="174" t="s">
        <v>12</v>
      </c>
      <c r="G108" s="175">
        <f t="shared" si="37"/>
        <v>174</v>
      </c>
      <c r="H108" s="176">
        <f>SUM(H107)</f>
        <v>0.16</v>
      </c>
      <c r="I108" s="42">
        <f t="shared" si="39"/>
        <v>0</v>
      </c>
      <c r="J108" s="43">
        <f t="shared" si="40"/>
        <v>0</v>
      </c>
    </row>
    <row r="109" spans="1:12" ht="12.75" customHeight="1" x14ac:dyDescent="0.2">
      <c r="A109" s="361" t="s">
        <v>182</v>
      </c>
      <c r="B109" s="188" t="s">
        <v>183</v>
      </c>
      <c r="C109" s="189" t="s">
        <v>184</v>
      </c>
      <c r="D109" s="157">
        <v>2304</v>
      </c>
      <c r="E109" s="158">
        <v>0.13</v>
      </c>
      <c r="F109" s="159">
        <v>58</v>
      </c>
      <c r="G109" s="154">
        <f t="shared" si="37"/>
        <v>174</v>
      </c>
      <c r="H109" s="75">
        <f t="shared" si="43"/>
        <v>0.13</v>
      </c>
      <c r="I109" s="61">
        <f t="shared" si="39"/>
        <v>0</v>
      </c>
      <c r="J109" s="62">
        <f t="shared" si="40"/>
        <v>0</v>
      </c>
      <c r="L109" s="6" t="b">
        <f t="shared" ref="L109:L112" si="45">IF(F109="N/A","N/A",F109&lt;G109)</f>
        <v>1</v>
      </c>
    </row>
    <row r="110" spans="1:12" x14ac:dyDescent="0.2">
      <c r="A110" s="354"/>
      <c r="B110" s="190" t="s">
        <v>185</v>
      </c>
      <c r="C110" s="191" t="s">
        <v>186</v>
      </c>
      <c r="D110" s="162">
        <v>2651</v>
      </c>
      <c r="E110" s="163">
        <v>0.36</v>
      </c>
      <c r="F110" s="164">
        <v>135</v>
      </c>
      <c r="G110" s="160">
        <f t="shared" si="37"/>
        <v>174</v>
      </c>
      <c r="H110" s="27">
        <f t="shared" si="43"/>
        <v>0.36</v>
      </c>
      <c r="I110" s="23">
        <f t="shared" si="39"/>
        <v>0</v>
      </c>
      <c r="J110" s="24">
        <f t="shared" si="40"/>
        <v>0</v>
      </c>
      <c r="L110" s="6" t="b">
        <f t="shared" si="45"/>
        <v>1</v>
      </c>
    </row>
    <row r="111" spans="1:12" x14ac:dyDescent="0.2">
      <c r="A111" s="354"/>
      <c r="B111" s="190" t="s">
        <v>187</v>
      </c>
      <c r="C111" s="191" t="s">
        <v>188</v>
      </c>
      <c r="D111" s="162">
        <v>1133</v>
      </c>
      <c r="E111" s="163">
        <v>0.15</v>
      </c>
      <c r="F111" s="164">
        <v>132</v>
      </c>
      <c r="G111" s="160">
        <f t="shared" si="37"/>
        <v>174</v>
      </c>
      <c r="H111" s="27">
        <f>E111</f>
        <v>0.15</v>
      </c>
      <c r="I111" s="23">
        <f t="shared" si="39"/>
        <v>0</v>
      </c>
      <c r="J111" s="24">
        <f t="shared" si="40"/>
        <v>0</v>
      </c>
      <c r="L111" s="6" t="b">
        <f t="shared" si="45"/>
        <v>1</v>
      </c>
    </row>
    <row r="112" spans="1:12" ht="13.5" thickBot="1" x14ac:dyDescent="0.25">
      <c r="A112" s="354"/>
      <c r="B112" s="28" t="s">
        <v>189</v>
      </c>
      <c r="C112" s="192" t="s">
        <v>190</v>
      </c>
      <c r="D112" s="167">
        <v>177</v>
      </c>
      <c r="E112" s="168">
        <v>0.02</v>
      </c>
      <c r="F112" s="169">
        <v>94</v>
      </c>
      <c r="G112" s="170">
        <f t="shared" si="37"/>
        <v>174</v>
      </c>
      <c r="H112" s="171">
        <f t="shared" si="43"/>
        <v>0.02</v>
      </c>
      <c r="I112" s="35">
        <f t="shared" si="39"/>
        <v>0</v>
      </c>
      <c r="J112" s="36">
        <f t="shared" si="40"/>
        <v>0</v>
      </c>
      <c r="L112" s="6" t="b">
        <f t="shared" si="45"/>
        <v>1</v>
      </c>
    </row>
    <row r="113" spans="1:12" ht="14.25" thickTop="1" thickBot="1" x14ac:dyDescent="0.25">
      <c r="A113" s="355"/>
      <c r="B113" s="362" t="s">
        <v>191</v>
      </c>
      <c r="C113" s="363"/>
      <c r="D113" s="172">
        <f>SUM(D109:D112)</f>
        <v>6265</v>
      </c>
      <c r="E113" s="173">
        <f>SUM(E109:E112)</f>
        <v>0.66</v>
      </c>
      <c r="F113" s="174" t="s">
        <v>12</v>
      </c>
      <c r="G113" s="175">
        <f t="shared" si="37"/>
        <v>174</v>
      </c>
      <c r="H113" s="176">
        <f>SUM(H109:H112)</f>
        <v>0.66</v>
      </c>
      <c r="I113" s="42">
        <f t="shared" si="39"/>
        <v>0</v>
      </c>
      <c r="J113" s="43">
        <f t="shared" si="40"/>
        <v>0</v>
      </c>
    </row>
    <row r="114" spans="1:12" ht="25.5" customHeight="1" x14ac:dyDescent="0.2">
      <c r="A114" s="354" t="s">
        <v>192</v>
      </c>
      <c r="B114" s="155" t="s">
        <v>193</v>
      </c>
      <c r="C114" s="156" t="s">
        <v>194</v>
      </c>
      <c r="D114" s="157">
        <v>4200</v>
      </c>
      <c r="E114" s="158">
        <v>1.1000000000000001</v>
      </c>
      <c r="F114" s="159">
        <v>263</v>
      </c>
      <c r="G114" s="154">
        <f t="shared" si="37"/>
        <v>174</v>
      </c>
      <c r="H114" s="75">
        <f t="shared" ref="H114:H119" si="46">D114*G114/1000000</f>
        <v>0.73080000000000001</v>
      </c>
      <c r="I114" s="61">
        <f t="shared" si="39"/>
        <v>-0.36920000000000008</v>
      </c>
      <c r="J114" s="62">
        <f t="shared" si="40"/>
        <v>-0.33563636363636368</v>
      </c>
      <c r="L114" s="6" t="b">
        <f t="shared" ref="L114:L117" si="47">IF(F114="N/A","N/A",F114&lt;G114)</f>
        <v>0</v>
      </c>
    </row>
    <row r="115" spans="1:12" x14ac:dyDescent="0.2">
      <c r="A115" s="354"/>
      <c r="B115" s="25" t="s">
        <v>195</v>
      </c>
      <c r="C115" s="161" t="s">
        <v>196</v>
      </c>
      <c r="D115" s="162">
        <v>796</v>
      </c>
      <c r="E115" s="163">
        <v>0.11</v>
      </c>
      <c r="F115" s="164">
        <v>142</v>
      </c>
      <c r="G115" s="160">
        <f t="shared" si="37"/>
        <v>174</v>
      </c>
      <c r="H115" s="27">
        <f t="shared" ref="H115" si="48">E115</f>
        <v>0.11</v>
      </c>
      <c r="I115" s="23">
        <f t="shared" si="39"/>
        <v>0</v>
      </c>
      <c r="J115" s="24">
        <f t="shared" si="40"/>
        <v>0</v>
      </c>
      <c r="L115" s="6" t="b">
        <f t="shared" si="47"/>
        <v>1</v>
      </c>
    </row>
    <row r="116" spans="1:12" x14ac:dyDescent="0.2">
      <c r="A116" s="354"/>
      <c r="B116" s="190" t="s">
        <v>197</v>
      </c>
      <c r="C116" s="161" t="s">
        <v>198</v>
      </c>
      <c r="D116" s="162">
        <v>346</v>
      </c>
      <c r="E116" s="163">
        <v>7.0000000000000007E-2</v>
      </c>
      <c r="F116" s="164">
        <v>208</v>
      </c>
      <c r="G116" s="160">
        <f t="shared" si="37"/>
        <v>174</v>
      </c>
      <c r="H116" s="27">
        <f t="shared" si="46"/>
        <v>6.0204000000000001E-2</v>
      </c>
      <c r="I116" s="23">
        <f t="shared" si="39"/>
        <v>-9.7960000000000061E-3</v>
      </c>
      <c r="J116" s="24">
        <f t="shared" si="40"/>
        <v>-0.13994285714285723</v>
      </c>
      <c r="L116" s="6" t="b">
        <f t="shared" si="47"/>
        <v>0</v>
      </c>
    </row>
    <row r="117" spans="1:12" ht="13.5" thickBot="1" x14ac:dyDescent="0.25">
      <c r="A117" s="354"/>
      <c r="B117" s="193" t="s">
        <v>199</v>
      </c>
      <c r="C117" s="166" t="s">
        <v>200</v>
      </c>
      <c r="D117" s="167">
        <v>664</v>
      </c>
      <c r="E117" s="168">
        <v>0.05</v>
      </c>
      <c r="F117" s="169">
        <v>81</v>
      </c>
      <c r="G117" s="170">
        <f t="shared" si="37"/>
        <v>174</v>
      </c>
      <c r="H117" s="171">
        <f>E117</f>
        <v>0.05</v>
      </c>
      <c r="I117" s="35">
        <f t="shared" si="39"/>
        <v>0</v>
      </c>
      <c r="J117" s="36">
        <f t="shared" si="40"/>
        <v>0</v>
      </c>
      <c r="L117" s="6" t="b">
        <f t="shared" si="47"/>
        <v>1</v>
      </c>
    </row>
    <row r="118" spans="1:12" ht="14.25" thickTop="1" thickBot="1" x14ac:dyDescent="0.25">
      <c r="A118" s="354"/>
      <c r="B118" s="356" t="s">
        <v>201</v>
      </c>
      <c r="C118" s="357"/>
      <c r="D118" s="172">
        <f>SUM(D114:D117)</f>
        <v>6006</v>
      </c>
      <c r="E118" s="173">
        <f>SUM(E114:E117)</f>
        <v>1.3300000000000003</v>
      </c>
      <c r="F118" s="174" t="s">
        <v>12</v>
      </c>
      <c r="G118" s="175">
        <f t="shared" si="37"/>
        <v>174</v>
      </c>
      <c r="H118" s="176">
        <f>SUM(H114:H117)</f>
        <v>0.95100400000000007</v>
      </c>
      <c r="I118" s="42">
        <f t="shared" si="39"/>
        <v>-0.37899600000000022</v>
      </c>
      <c r="J118" s="43">
        <f t="shared" si="40"/>
        <v>-0.28495939849624069</v>
      </c>
    </row>
    <row r="119" spans="1:12" ht="25.5" customHeight="1" x14ac:dyDescent="0.2">
      <c r="A119" s="361" t="s">
        <v>202</v>
      </c>
      <c r="B119" s="194" t="s">
        <v>203</v>
      </c>
      <c r="C119" s="189">
        <v>216835</v>
      </c>
      <c r="D119" s="157">
        <v>6919</v>
      </c>
      <c r="E119" s="158">
        <v>1.49</v>
      </c>
      <c r="F119" s="159">
        <v>215</v>
      </c>
      <c r="G119" s="154">
        <f t="shared" si="37"/>
        <v>174</v>
      </c>
      <c r="H119" s="75">
        <f t="shared" si="46"/>
        <v>1.2039059999999999</v>
      </c>
      <c r="I119" s="61">
        <f t="shared" si="39"/>
        <v>-0.28609400000000007</v>
      </c>
      <c r="J119" s="62">
        <f t="shared" si="40"/>
        <v>-0.19200939597315442</v>
      </c>
      <c r="L119" s="6" t="b">
        <f t="shared" ref="L119:L121" si="49">IF(F119="N/A","N/A",F119&lt;G119)</f>
        <v>0</v>
      </c>
    </row>
    <row r="120" spans="1:12" x14ac:dyDescent="0.2">
      <c r="A120" s="354"/>
      <c r="B120" s="190" t="s">
        <v>204</v>
      </c>
      <c r="C120" s="191">
        <v>220484</v>
      </c>
      <c r="D120" s="162">
        <v>5289</v>
      </c>
      <c r="E120" s="163">
        <v>0.5</v>
      </c>
      <c r="F120" s="164">
        <v>95</v>
      </c>
      <c r="G120" s="160">
        <f t="shared" si="37"/>
        <v>174</v>
      </c>
      <c r="H120" s="27">
        <f t="shared" ref="H120" si="50">E120</f>
        <v>0.5</v>
      </c>
      <c r="I120" s="23">
        <f t="shared" si="39"/>
        <v>0</v>
      </c>
      <c r="J120" s="24">
        <f t="shared" si="40"/>
        <v>0</v>
      </c>
      <c r="L120" s="6" t="b">
        <f t="shared" si="49"/>
        <v>1</v>
      </c>
    </row>
    <row r="121" spans="1:12" ht="13.5" thickBot="1" x14ac:dyDescent="0.25">
      <c r="A121" s="354"/>
      <c r="B121" s="195" t="s">
        <v>205</v>
      </c>
      <c r="C121" s="196">
        <v>221166</v>
      </c>
      <c r="D121" s="167">
        <v>1623</v>
      </c>
      <c r="E121" s="168">
        <v>7.0000000000000007E-2</v>
      </c>
      <c r="F121" s="169">
        <v>41</v>
      </c>
      <c r="G121" s="170">
        <f t="shared" si="37"/>
        <v>174</v>
      </c>
      <c r="H121" s="171">
        <f>E121</f>
        <v>7.0000000000000007E-2</v>
      </c>
      <c r="I121" s="35">
        <f t="shared" si="39"/>
        <v>0</v>
      </c>
      <c r="J121" s="36">
        <f t="shared" si="40"/>
        <v>0</v>
      </c>
      <c r="L121" s="6" t="b">
        <f t="shared" si="49"/>
        <v>1</v>
      </c>
    </row>
    <row r="122" spans="1:12" ht="12.75" customHeight="1" thickTop="1" thickBot="1" x14ac:dyDescent="0.25">
      <c r="A122" s="355"/>
      <c r="B122" s="364" t="s">
        <v>206</v>
      </c>
      <c r="C122" s="365"/>
      <c r="D122" s="172">
        <f>SUM(D119:D121)</f>
        <v>13831</v>
      </c>
      <c r="E122" s="173">
        <f>SUM(E119:E121)</f>
        <v>2.06</v>
      </c>
      <c r="F122" s="174" t="s">
        <v>12</v>
      </c>
      <c r="G122" s="175">
        <f t="shared" si="37"/>
        <v>174</v>
      </c>
      <c r="H122" s="176">
        <f>SUM(H119:H121)</f>
        <v>1.773906</v>
      </c>
      <c r="I122" s="42">
        <f t="shared" si="39"/>
        <v>-0.28609400000000007</v>
      </c>
      <c r="J122" s="43">
        <f t="shared" si="40"/>
        <v>-0.13888058252427188</v>
      </c>
    </row>
    <row r="123" spans="1:12" ht="13.5" thickBot="1" x14ac:dyDescent="0.25">
      <c r="A123" s="366" t="s">
        <v>207</v>
      </c>
      <c r="B123" s="367"/>
      <c r="C123" s="368"/>
      <c r="D123" s="37">
        <f>D104+D106+D108+D113+D118+D122</f>
        <v>31121</v>
      </c>
      <c r="E123" s="197">
        <f>E104+E106+E108+E113+E118+E122</f>
        <v>5.08</v>
      </c>
      <c r="F123" s="198" t="s">
        <v>12</v>
      </c>
      <c r="G123" s="175" t="s">
        <v>12</v>
      </c>
      <c r="H123" s="176">
        <f>H104+H106+H108+H113+H118+H122</f>
        <v>4.0209739999999998</v>
      </c>
      <c r="I123" s="42">
        <f t="shared" si="39"/>
        <v>-1.0590260000000002</v>
      </c>
      <c r="J123" s="43">
        <f>I123/E123</f>
        <v>-0.20846968503937013</v>
      </c>
    </row>
    <row r="124" spans="1:12" ht="13.5" thickBot="1" x14ac:dyDescent="0.25">
      <c r="A124" s="146"/>
      <c r="B124" s="146"/>
      <c r="C124" s="369" t="s">
        <v>208</v>
      </c>
      <c r="D124" s="370"/>
      <c r="E124" s="371"/>
      <c r="F124" s="199">
        <v>174</v>
      </c>
    </row>
    <row r="125" spans="1:12" x14ac:dyDescent="0.2">
      <c r="A125" s="148" t="s">
        <v>20</v>
      </c>
      <c r="B125" s="146"/>
      <c r="C125" s="200"/>
      <c r="D125" s="200"/>
      <c r="E125" s="200"/>
      <c r="F125" s="201"/>
    </row>
    <row r="126" spans="1:12" x14ac:dyDescent="0.2">
      <c r="A126" s="6" t="s">
        <v>164</v>
      </c>
    </row>
    <row r="153" spans="1:14" s="5" customFormat="1" x14ac:dyDescent="0.2">
      <c r="A153" s="149"/>
      <c r="B153" s="149"/>
      <c r="C153" s="149"/>
      <c r="D153" s="149"/>
      <c r="E153" s="6"/>
      <c r="H153" s="6"/>
      <c r="I153" s="6"/>
      <c r="J153" s="6"/>
      <c r="K153" s="6"/>
      <c r="L153" s="6"/>
      <c r="M153" s="6"/>
      <c r="N153" s="6"/>
    </row>
    <row r="154" spans="1:14" s="5" customFormat="1" x14ac:dyDescent="0.2">
      <c r="A154" s="149"/>
      <c r="B154" s="149"/>
      <c r="C154" s="149"/>
      <c r="D154" s="149"/>
      <c r="E154" s="6"/>
      <c r="H154" s="6"/>
      <c r="I154" s="6"/>
      <c r="J154" s="6"/>
      <c r="K154" s="6"/>
      <c r="L154" s="6"/>
      <c r="M154" s="6"/>
      <c r="N154" s="6"/>
    </row>
    <row r="155" spans="1:14" s="5" customFormat="1" x14ac:dyDescent="0.2">
      <c r="A155" s="149"/>
      <c r="B155" s="6"/>
      <c r="C155" s="149"/>
      <c r="D155" s="6"/>
      <c r="E155" s="6"/>
      <c r="H155" s="6"/>
      <c r="I155" s="6"/>
      <c r="J155" s="6"/>
      <c r="K155" s="6"/>
      <c r="L155" s="6"/>
      <c r="M155" s="6"/>
      <c r="N155" s="6"/>
    </row>
    <row r="156" spans="1:14" s="5" customFormat="1" x14ac:dyDescent="0.2">
      <c r="A156" s="149"/>
      <c r="B156" s="6"/>
      <c r="C156" s="149"/>
      <c r="D156" s="6"/>
      <c r="E156" s="6"/>
      <c r="H156" s="6"/>
      <c r="I156" s="6"/>
      <c r="J156" s="6"/>
      <c r="K156" s="6"/>
      <c r="L156" s="6"/>
      <c r="M156" s="6"/>
      <c r="N156" s="6"/>
    </row>
    <row r="157" spans="1:14" s="5" customFormat="1" x14ac:dyDescent="0.2">
      <c r="A157" s="358"/>
      <c r="B157" s="358"/>
      <c r="C157" s="358"/>
      <c r="D157" s="358"/>
      <c r="E157" s="358"/>
      <c r="F157" s="358"/>
      <c r="H157" s="6"/>
      <c r="I157" s="6"/>
      <c r="J157" s="6"/>
      <c r="K157" s="6"/>
      <c r="L157" s="6"/>
      <c r="M157" s="6"/>
      <c r="N157" s="6"/>
    </row>
    <row r="158" spans="1:14" s="5" customFormat="1" x14ac:dyDescent="0.2">
      <c r="A158" s="202"/>
      <c r="B158" s="6"/>
      <c r="C158" s="6"/>
      <c r="D158" s="6"/>
      <c r="E158" s="6"/>
      <c r="H158" s="6"/>
      <c r="I158" s="6"/>
      <c r="J158" s="6"/>
      <c r="K158" s="6"/>
      <c r="L158" s="6"/>
      <c r="M158" s="6"/>
      <c r="N158" s="6"/>
    </row>
    <row r="159" spans="1:14" s="5" customFormat="1" x14ac:dyDescent="0.2">
      <c r="A159" s="358"/>
      <c r="B159" s="358"/>
      <c r="C159" s="358"/>
      <c r="D159" s="358"/>
      <c r="E159" s="358"/>
      <c r="F159" s="358"/>
      <c r="H159" s="6"/>
      <c r="I159" s="6"/>
      <c r="J159" s="6"/>
      <c r="K159" s="6"/>
      <c r="L159" s="6"/>
      <c r="M159" s="6"/>
      <c r="N159" s="6"/>
    </row>
  </sheetData>
  <autoFilter ref="A2:L126" xr:uid="{18E772A9-64E9-403D-9648-7F6AF2C6BDBB}"/>
  <mergeCells count="72">
    <mergeCell ref="A11:A16"/>
    <mergeCell ref="B16:C16"/>
    <mergeCell ref="A17:A19"/>
    <mergeCell ref="G2:G4"/>
    <mergeCell ref="H2:H4"/>
    <mergeCell ref="B19:C19"/>
    <mergeCell ref="I2:I4"/>
    <mergeCell ref="J2:J4"/>
    <mergeCell ref="A5:A10"/>
    <mergeCell ref="B10:C10"/>
    <mergeCell ref="A2:A4"/>
    <mergeCell ref="B2:B4"/>
    <mergeCell ref="C2:C4"/>
    <mergeCell ref="D2:D4"/>
    <mergeCell ref="E2:E4"/>
    <mergeCell ref="F2:F4"/>
    <mergeCell ref="A20:A21"/>
    <mergeCell ref="B21:C21"/>
    <mergeCell ref="A22:A24"/>
    <mergeCell ref="B24:C24"/>
    <mergeCell ref="B29:C29"/>
    <mergeCell ref="A25:A29"/>
    <mergeCell ref="B33:C33"/>
    <mergeCell ref="A34:A42"/>
    <mergeCell ref="B42:C42"/>
    <mergeCell ref="A43:A51"/>
    <mergeCell ref="B51:C51"/>
    <mergeCell ref="A30:A33"/>
    <mergeCell ref="B54:C54"/>
    <mergeCell ref="A55:A59"/>
    <mergeCell ref="B59:C59"/>
    <mergeCell ref="A52:A54"/>
    <mergeCell ref="A60:A65"/>
    <mergeCell ref="B65:C65"/>
    <mergeCell ref="A66:A73"/>
    <mergeCell ref="B73:C73"/>
    <mergeCell ref="A74:A81"/>
    <mergeCell ref="B81:C81"/>
    <mergeCell ref="A82:A86"/>
    <mergeCell ref="B86:C86"/>
    <mergeCell ref="A87:A88"/>
    <mergeCell ref="B88:C88"/>
    <mergeCell ref="A89:C89"/>
    <mergeCell ref="C90:E90"/>
    <mergeCell ref="A96:J96"/>
    <mergeCell ref="C91:E91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A100:A104"/>
    <mergeCell ref="B104:C104"/>
    <mergeCell ref="A157:F157"/>
    <mergeCell ref="A159:F159"/>
    <mergeCell ref="A107:A108"/>
    <mergeCell ref="B108:C108"/>
    <mergeCell ref="A109:A113"/>
    <mergeCell ref="B113:C113"/>
    <mergeCell ref="A114:A118"/>
    <mergeCell ref="B118:C118"/>
    <mergeCell ref="A119:A122"/>
    <mergeCell ref="B122:C122"/>
    <mergeCell ref="A123:C123"/>
    <mergeCell ref="C124:E124"/>
    <mergeCell ref="A105:A106"/>
    <mergeCell ref="B106:C106"/>
  </mergeCells>
  <pageMargins left="0.7" right="0.7" top="0.75" bottom="0.75" header="0.3" footer="0.3"/>
  <pageSetup paperSize="3" scale="79" fitToHeight="0" orientation="landscape" r:id="rId1"/>
  <rowBreaks count="2" manualBreakCount="2">
    <brk id="94" max="16383" man="1"/>
    <brk id="1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B6E2F-54BF-4068-85FA-134738431F11}">
  <sheetPr>
    <pageSetUpPr fitToPage="1"/>
  </sheetPr>
  <dimension ref="A1:J88"/>
  <sheetViews>
    <sheetView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defaultRowHeight="12.75" x14ac:dyDescent="0.2"/>
  <cols>
    <col min="1" max="1" width="21.7109375" style="6" customWidth="1"/>
    <col min="2" max="2" width="51.140625" style="6" customWidth="1"/>
    <col min="3" max="3" width="23.7109375" style="6" customWidth="1"/>
    <col min="4" max="5" width="23.140625" style="6" customWidth="1"/>
    <col min="6" max="16384" width="9.140625" style="6"/>
  </cols>
  <sheetData>
    <row r="1" spans="1:5" ht="13.5" thickBot="1" x14ac:dyDescent="0.25">
      <c r="A1" s="203" t="s">
        <v>209</v>
      </c>
    </row>
    <row r="2" spans="1:5" ht="32.25" customHeight="1" thickBot="1" x14ac:dyDescent="0.25">
      <c r="A2" s="431" t="s">
        <v>29</v>
      </c>
      <c r="B2" s="433" t="s">
        <v>1</v>
      </c>
      <c r="C2" s="377" t="s">
        <v>3</v>
      </c>
      <c r="D2" s="426" t="s">
        <v>210</v>
      </c>
      <c r="E2" s="427"/>
    </row>
    <row r="3" spans="1:5" ht="32.25" customHeight="1" thickBot="1" x14ac:dyDescent="0.25">
      <c r="A3" s="432"/>
      <c r="B3" s="434"/>
      <c r="C3" s="379"/>
      <c r="D3" s="321" t="s">
        <v>5</v>
      </c>
      <c r="E3" s="277" t="s">
        <v>6</v>
      </c>
    </row>
    <row r="4" spans="1:5" ht="13.5" thickTop="1" x14ac:dyDescent="0.2">
      <c r="A4" s="435" t="s">
        <v>40</v>
      </c>
      <c r="B4" s="204" t="s">
        <v>211</v>
      </c>
      <c r="C4" s="205">
        <f>Second_Scenario_1!E10</f>
        <v>27.779999999999998</v>
      </c>
      <c r="D4" s="265">
        <f>E4/C4</f>
        <v>1.1110871130309437E-3</v>
      </c>
      <c r="E4" s="206">
        <f>-Second_Scenario_1!I10</f>
        <v>3.0865999999999616E-2</v>
      </c>
    </row>
    <row r="5" spans="1:5" ht="15" customHeight="1" thickBot="1" x14ac:dyDescent="0.25">
      <c r="A5" s="436"/>
      <c r="B5" s="229" t="s">
        <v>212</v>
      </c>
      <c r="C5" s="209">
        <v>1</v>
      </c>
      <c r="D5" s="268">
        <f>D4</f>
        <v>1.1110871130309437E-3</v>
      </c>
      <c r="E5" s="210">
        <f>C5*D5</f>
        <v>1.1110871130309437E-3</v>
      </c>
    </row>
    <row r="6" spans="1:5" s="214" customFormat="1" ht="15.75" customHeight="1" thickTop="1" thickBot="1" x14ac:dyDescent="0.25">
      <c r="A6" s="437"/>
      <c r="B6" s="211" t="s">
        <v>213</v>
      </c>
      <c r="C6" s="212">
        <f>SUM(C4:C5)</f>
        <v>28.779999999999998</v>
      </c>
      <c r="D6" s="267">
        <f>E6/C6</f>
        <v>1.1110871130309437E-3</v>
      </c>
      <c r="E6" s="238">
        <f>SUM(E4:E5)</f>
        <v>3.1977087113030558E-2</v>
      </c>
    </row>
    <row r="7" spans="1:5" x14ac:dyDescent="0.2">
      <c r="A7" s="438" t="s">
        <v>48</v>
      </c>
      <c r="B7" s="204" t="s">
        <v>211</v>
      </c>
      <c r="C7" s="205">
        <f>Second_Scenario_1!E16</f>
        <v>3.13</v>
      </c>
      <c r="D7" s="265">
        <f>E7/C7</f>
        <v>0</v>
      </c>
      <c r="E7" s="206">
        <f>-Second_Scenario_1!I16</f>
        <v>0</v>
      </c>
    </row>
    <row r="8" spans="1:5" ht="15" customHeight="1" thickBot="1" x14ac:dyDescent="0.25">
      <c r="A8" s="436"/>
      <c r="B8" s="208" t="s">
        <v>212</v>
      </c>
      <c r="C8" s="209">
        <v>1.65</v>
      </c>
      <c r="D8" s="268">
        <f>D7</f>
        <v>0</v>
      </c>
      <c r="E8" s="210">
        <f>C8*D8</f>
        <v>0</v>
      </c>
    </row>
    <row r="9" spans="1:5" s="214" customFormat="1" ht="15.75" customHeight="1" thickTop="1" thickBot="1" x14ac:dyDescent="0.25">
      <c r="A9" s="437"/>
      <c r="B9" s="211" t="s">
        <v>213</v>
      </c>
      <c r="C9" s="212">
        <f>SUM(C7:C8)</f>
        <v>4.7799999999999994</v>
      </c>
      <c r="D9" s="267">
        <f>E9/C9</f>
        <v>0</v>
      </c>
      <c r="E9" s="238">
        <f>SUM(E7:E8)</f>
        <v>0</v>
      </c>
    </row>
    <row r="10" spans="1:5" x14ac:dyDescent="0.2">
      <c r="A10" s="438" t="s">
        <v>55</v>
      </c>
      <c r="B10" s="204" t="s">
        <v>211</v>
      </c>
      <c r="C10" s="205">
        <f>Second_Scenario_1!E19</f>
        <v>1.0900000000000001</v>
      </c>
      <c r="D10" s="265">
        <f>E10/C10</f>
        <v>0.1276256880733945</v>
      </c>
      <c r="E10" s="206">
        <f>-Second_Scenario_1!I19</f>
        <v>0.13911200000000001</v>
      </c>
    </row>
    <row r="11" spans="1:5" ht="15" customHeight="1" thickBot="1" x14ac:dyDescent="0.25">
      <c r="A11" s="436"/>
      <c r="B11" s="208" t="s">
        <v>212</v>
      </c>
      <c r="C11" s="209">
        <v>2.9</v>
      </c>
      <c r="D11" s="268">
        <f>D10</f>
        <v>0.1276256880733945</v>
      </c>
      <c r="E11" s="210">
        <f>C11*D11</f>
        <v>0.37011449541284402</v>
      </c>
    </row>
    <row r="12" spans="1:5" s="214" customFormat="1" ht="15.75" customHeight="1" thickTop="1" thickBot="1" x14ac:dyDescent="0.25">
      <c r="A12" s="437"/>
      <c r="B12" s="211" t="s">
        <v>213</v>
      </c>
      <c r="C12" s="212">
        <f>SUM(C10:C11)</f>
        <v>3.99</v>
      </c>
      <c r="D12" s="267">
        <f>E12/C12</f>
        <v>0.1276256880733945</v>
      </c>
      <c r="E12" s="238">
        <f>SUM(E10:E11)</f>
        <v>0.50922649541284404</v>
      </c>
    </row>
    <row r="13" spans="1:5" s="214" customFormat="1" x14ac:dyDescent="0.2">
      <c r="A13" s="438" t="s">
        <v>214</v>
      </c>
      <c r="B13" s="204" t="s">
        <v>211</v>
      </c>
      <c r="C13" s="215">
        <v>0</v>
      </c>
      <c r="D13" s="311" t="s">
        <v>12</v>
      </c>
      <c r="E13" s="312" t="s">
        <v>12</v>
      </c>
    </row>
    <row r="14" spans="1:5" s="214" customFormat="1" ht="15.75" customHeight="1" thickBot="1" x14ac:dyDescent="0.25">
      <c r="A14" s="436"/>
      <c r="B14" s="229" t="s">
        <v>212</v>
      </c>
      <c r="C14" s="216">
        <v>7.0000000000000007E-2</v>
      </c>
      <c r="D14" s="313" t="str">
        <f>D13</f>
        <v>N/A</v>
      </c>
      <c r="E14" s="314" t="s">
        <v>12</v>
      </c>
    </row>
    <row r="15" spans="1:5" s="214" customFormat="1" ht="16.5" customHeight="1" thickTop="1" thickBot="1" x14ac:dyDescent="0.25">
      <c r="A15" s="437"/>
      <c r="B15" s="211" t="s">
        <v>213</v>
      </c>
      <c r="C15" s="220">
        <f>SUM(C13:C14)</f>
        <v>7.0000000000000007E-2</v>
      </c>
      <c r="D15" s="315" t="s">
        <v>12</v>
      </c>
      <c r="E15" s="316" t="s">
        <v>12</v>
      </c>
    </row>
    <row r="16" spans="1:5" x14ac:dyDescent="0.2">
      <c r="A16" s="438" t="s">
        <v>59</v>
      </c>
      <c r="B16" s="204" t="s">
        <v>211</v>
      </c>
      <c r="C16" s="215">
        <f>Second_Scenario_1!E21</f>
        <v>0.01</v>
      </c>
      <c r="D16" s="265">
        <f>E16/C16</f>
        <v>0</v>
      </c>
      <c r="E16" s="206">
        <f>-Second_Scenario_1!I21</f>
        <v>0</v>
      </c>
    </row>
    <row r="17" spans="1:5" ht="15" customHeight="1" thickBot="1" x14ac:dyDescent="0.25">
      <c r="A17" s="436"/>
      <c r="B17" s="229" t="s">
        <v>212</v>
      </c>
      <c r="C17" s="209">
        <v>0.3</v>
      </c>
      <c r="D17" s="268">
        <f>D16</f>
        <v>0</v>
      </c>
      <c r="E17" s="210">
        <f>C17*D17</f>
        <v>0</v>
      </c>
    </row>
    <row r="18" spans="1:5" ht="15.75" customHeight="1" thickTop="1" thickBot="1" x14ac:dyDescent="0.25">
      <c r="A18" s="437"/>
      <c r="B18" s="211" t="s">
        <v>213</v>
      </c>
      <c r="C18" s="212">
        <f>SUM(C16:C17)</f>
        <v>0.31</v>
      </c>
      <c r="D18" s="267">
        <f>E18/C18</f>
        <v>0</v>
      </c>
      <c r="E18" s="238">
        <f>SUM(E16:E17)</f>
        <v>0</v>
      </c>
    </row>
    <row r="19" spans="1:5" x14ac:dyDescent="0.2">
      <c r="A19" s="438" t="s">
        <v>62</v>
      </c>
      <c r="B19" s="204" t="s">
        <v>211</v>
      </c>
      <c r="C19" s="205">
        <f>Second_Scenario_1!E24</f>
        <v>1.1100000000000001</v>
      </c>
      <c r="D19" s="265">
        <f>E19/C19</f>
        <v>6.6452252252252347E-2</v>
      </c>
      <c r="E19" s="206">
        <f>-Second_Scenario_1!I24</f>
        <v>7.3762000000000105E-2</v>
      </c>
    </row>
    <row r="20" spans="1:5" ht="15" customHeight="1" thickBot="1" x14ac:dyDescent="0.25">
      <c r="A20" s="436"/>
      <c r="B20" s="242" t="s">
        <v>212</v>
      </c>
      <c r="C20" s="209">
        <v>0.54</v>
      </c>
      <c r="D20" s="268">
        <f>D19</f>
        <v>6.6452252252252347E-2</v>
      </c>
      <c r="E20" s="210">
        <f>C20*D20</f>
        <v>3.5884216216216271E-2</v>
      </c>
    </row>
    <row r="21" spans="1:5" s="214" customFormat="1" ht="15.75" customHeight="1" thickTop="1" thickBot="1" x14ac:dyDescent="0.25">
      <c r="A21" s="437"/>
      <c r="B21" s="243" t="s">
        <v>213</v>
      </c>
      <c r="C21" s="212">
        <f>SUM(C19:C20)</f>
        <v>1.6500000000000001</v>
      </c>
      <c r="D21" s="267">
        <f>E21/C21</f>
        <v>6.6452252252252333E-2</v>
      </c>
      <c r="E21" s="238">
        <f>SUM(E19:E20)</f>
        <v>0.10964621621621637</v>
      </c>
    </row>
    <row r="22" spans="1:5" x14ac:dyDescent="0.2">
      <c r="A22" s="438" t="s">
        <v>66</v>
      </c>
      <c r="B22" s="204" t="s">
        <v>211</v>
      </c>
      <c r="C22" s="205">
        <f>Second_Scenario_1!E29</f>
        <v>25.57</v>
      </c>
      <c r="D22" s="265">
        <f>E22/C22</f>
        <v>1.3572858818928314E-2</v>
      </c>
      <c r="E22" s="232">
        <f>-Second_Scenario_1!I29</f>
        <v>0.34705799999999698</v>
      </c>
    </row>
    <row r="23" spans="1:5" ht="15" customHeight="1" thickBot="1" x14ac:dyDescent="0.25">
      <c r="A23" s="436"/>
      <c r="B23" s="242" t="s">
        <v>212</v>
      </c>
      <c r="C23" s="223">
        <v>4.7699999999999996</v>
      </c>
      <c r="D23" s="266">
        <f>D22</f>
        <v>1.3572858818928314E-2</v>
      </c>
      <c r="E23" s="210">
        <f>C23*D23</f>
        <v>6.4742536566288048E-2</v>
      </c>
    </row>
    <row r="24" spans="1:5" s="214" customFormat="1" ht="15.75" customHeight="1" thickTop="1" thickBot="1" x14ac:dyDescent="0.25">
      <c r="A24" s="437"/>
      <c r="B24" s="243" t="s">
        <v>213</v>
      </c>
      <c r="C24" s="221">
        <f>SUM(C22:C23)</f>
        <v>30.34</v>
      </c>
      <c r="D24" s="267">
        <f>E24/C24</f>
        <v>1.3572858818928312E-2</v>
      </c>
      <c r="E24" s="238">
        <f>SUM(E22:E23)</f>
        <v>0.41180053656628501</v>
      </c>
    </row>
    <row r="25" spans="1:5" s="214" customFormat="1" x14ac:dyDescent="0.2">
      <c r="A25" s="416" t="s">
        <v>72</v>
      </c>
      <c r="B25" s="204" t="s">
        <v>211</v>
      </c>
      <c r="C25" s="215">
        <f>Second_Scenario_1!E33</f>
        <v>6.16</v>
      </c>
      <c r="D25" s="270">
        <f>E25/C25</f>
        <v>0.13423181818181806</v>
      </c>
      <c r="E25" s="239">
        <f>-Second_Scenario_1!I33</f>
        <v>0.82686799999999927</v>
      </c>
    </row>
    <row r="26" spans="1:5" s="214" customFormat="1" ht="15.75" customHeight="1" thickBot="1" x14ac:dyDescent="0.25">
      <c r="A26" s="417"/>
      <c r="B26" s="242" t="s">
        <v>212</v>
      </c>
      <c r="C26" s="207">
        <v>3.19</v>
      </c>
      <c r="D26" s="271">
        <f>D25</f>
        <v>0.13423181818181806</v>
      </c>
      <c r="E26" s="218">
        <f>C26*D26</f>
        <v>0.42819949999999962</v>
      </c>
    </row>
    <row r="27" spans="1:5" s="214" customFormat="1" ht="16.5" customHeight="1" thickTop="1" thickBot="1" x14ac:dyDescent="0.25">
      <c r="A27" s="418"/>
      <c r="B27" s="243" t="s">
        <v>213</v>
      </c>
      <c r="C27" s="221">
        <f>SUM(C25:C26)</f>
        <v>9.35</v>
      </c>
      <c r="D27" s="269">
        <f>E27/C27</f>
        <v>0.13423181818181806</v>
      </c>
      <c r="E27" s="240">
        <f>SUM(E25:E26)</f>
        <v>1.2550674999999989</v>
      </c>
    </row>
    <row r="28" spans="1:5" s="214" customFormat="1" x14ac:dyDescent="0.2">
      <c r="A28" s="416" t="s">
        <v>76</v>
      </c>
      <c r="B28" s="204" t="s">
        <v>211</v>
      </c>
      <c r="C28" s="217">
        <f>Second_Scenario_1!E42</f>
        <v>158.97</v>
      </c>
      <c r="D28" s="270">
        <f>E28/C28</f>
        <v>0.19278597848650691</v>
      </c>
      <c r="E28" s="239">
        <f>-Second_Scenario_1!I42</f>
        <v>30.647187000000002</v>
      </c>
    </row>
    <row r="29" spans="1:5" s="214" customFormat="1" ht="15.75" customHeight="1" thickBot="1" x14ac:dyDescent="0.25">
      <c r="A29" s="417"/>
      <c r="B29" s="229" t="s">
        <v>212</v>
      </c>
      <c r="C29" s="207">
        <v>16.25</v>
      </c>
      <c r="D29" s="266">
        <f>D28</f>
        <v>0.19278597848650691</v>
      </c>
      <c r="E29" s="244">
        <f>C29*D29</f>
        <v>3.1327721504057373</v>
      </c>
    </row>
    <row r="30" spans="1:5" s="214" customFormat="1" ht="16.5" customHeight="1" thickTop="1" thickBot="1" x14ac:dyDescent="0.25">
      <c r="A30" s="418"/>
      <c r="B30" s="211" t="s">
        <v>213</v>
      </c>
      <c r="C30" s="221">
        <f>SUM(C28:C29)</f>
        <v>175.22</v>
      </c>
      <c r="D30" s="267">
        <f>E30/C30</f>
        <v>0.19278597848650689</v>
      </c>
      <c r="E30" s="238">
        <f>SUM(E28:E29)</f>
        <v>33.779959150405737</v>
      </c>
    </row>
    <row r="31" spans="1:5" s="214" customFormat="1" x14ac:dyDescent="0.2">
      <c r="A31" s="416" t="s">
        <v>92</v>
      </c>
      <c r="B31" s="204" t="s">
        <v>211</v>
      </c>
      <c r="C31" s="217">
        <f>Second_Scenario_1!E51</f>
        <v>14.329999999999998</v>
      </c>
      <c r="D31" s="270">
        <f>E31/C31</f>
        <v>3.8238032100488574E-2</v>
      </c>
      <c r="E31" s="239">
        <f>-Second_Scenario_1!I51</f>
        <v>0.54795100000000119</v>
      </c>
    </row>
    <row r="32" spans="1:5" s="214" customFormat="1" ht="15.75" customHeight="1" thickBot="1" x14ac:dyDescent="0.25">
      <c r="A32" s="417"/>
      <c r="B32" s="242" t="s">
        <v>212</v>
      </c>
      <c r="C32" s="207">
        <v>0.4</v>
      </c>
      <c r="D32" s="271">
        <f>D31</f>
        <v>3.8238032100488574E-2</v>
      </c>
      <c r="E32" s="218">
        <f>C32*D32</f>
        <v>1.529521284019543E-2</v>
      </c>
    </row>
    <row r="33" spans="1:5" s="214" customFormat="1" ht="16.5" customHeight="1" thickTop="1" thickBot="1" x14ac:dyDescent="0.25">
      <c r="A33" s="418"/>
      <c r="B33" s="243" t="s">
        <v>213</v>
      </c>
      <c r="C33" s="221">
        <f>SUM(C31:C32)</f>
        <v>14.729999999999999</v>
      </c>
      <c r="D33" s="269">
        <f>E33/C33</f>
        <v>3.8238032100488574E-2</v>
      </c>
      <c r="E33" s="240">
        <f>SUM(E31:E32)</f>
        <v>0.5632462128401966</v>
      </c>
    </row>
    <row r="34" spans="1:5" s="214" customFormat="1" x14ac:dyDescent="0.2">
      <c r="A34" s="416" t="s">
        <v>109</v>
      </c>
      <c r="B34" s="204" t="s">
        <v>211</v>
      </c>
      <c r="C34" s="215">
        <f>Second_Scenario_1!E54</f>
        <v>0.28000000000000003</v>
      </c>
      <c r="D34" s="272">
        <f>E34/C34</f>
        <v>0</v>
      </c>
      <c r="E34" s="241">
        <f>-Second_Scenario_1!I54</f>
        <v>0</v>
      </c>
    </row>
    <row r="35" spans="1:5" s="214" customFormat="1" ht="13.5" thickBot="1" x14ac:dyDescent="0.25">
      <c r="A35" s="417"/>
      <c r="B35" s="242" t="s">
        <v>212</v>
      </c>
      <c r="C35" s="207">
        <v>1.26</v>
      </c>
      <c r="D35" s="271">
        <f>D34</f>
        <v>0</v>
      </c>
      <c r="E35" s="218">
        <f>C35*D35</f>
        <v>0</v>
      </c>
    </row>
    <row r="36" spans="1:5" s="214" customFormat="1" ht="14.25" thickTop="1" thickBot="1" x14ac:dyDescent="0.25">
      <c r="A36" s="418"/>
      <c r="B36" s="243" t="s">
        <v>213</v>
      </c>
      <c r="C36" s="221">
        <f>SUM(C34:C35)</f>
        <v>1.54</v>
      </c>
      <c r="D36" s="269">
        <f>E36/C36</f>
        <v>0</v>
      </c>
      <c r="E36" s="240">
        <f>SUM(E34:E35)</f>
        <v>0</v>
      </c>
    </row>
    <row r="37" spans="1:5" s="214" customFormat="1" x14ac:dyDescent="0.2">
      <c r="A37" s="416" t="s">
        <v>113</v>
      </c>
      <c r="B37" s="204" t="s">
        <v>211</v>
      </c>
      <c r="C37" s="215">
        <f>Second_Scenario_1!E59</f>
        <v>1.03</v>
      </c>
      <c r="D37" s="273">
        <f>E37/C37</f>
        <v>0.21381553398058256</v>
      </c>
      <c r="E37" s="241">
        <f>-Second_Scenario_1!I59</f>
        <v>0.22023000000000004</v>
      </c>
    </row>
    <row r="38" spans="1:5" s="214" customFormat="1" ht="15.75" customHeight="1" thickBot="1" x14ac:dyDescent="0.25">
      <c r="A38" s="417"/>
      <c r="B38" s="229" t="s">
        <v>212</v>
      </c>
      <c r="C38" s="207">
        <v>0.67</v>
      </c>
      <c r="D38" s="274">
        <f>D37</f>
        <v>0.21381553398058256</v>
      </c>
      <c r="E38" s="218">
        <f>C38*D38</f>
        <v>0.14325640776699033</v>
      </c>
    </row>
    <row r="39" spans="1:5" s="214" customFormat="1" ht="16.5" customHeight="1" thickTop="1" thickBot="1" x14ac:dyDescent="0.25">
      <c r="A39" s="418"/>
      <c r="B39" s="211" t="s">
        <v>213</v>
      </c>
      <c r="C39" s="221">
        <f>SUM(C37:C38)</f>
        <v>1.7000000000000002</v>
      </c>
      <c r="D39" s="269">
        <f>E39/C39</f>
        <v>0.21381553398058256</v>
      </c>
      <c r="E39" s="240">
        <f>SUM(E37:E38)</f>
        <v>0.36348640776699037</v>
      </c>
    </row>
    <row r="40" spans="1:5" s="214" customFormat="1" x14ac:dyDescent="0.2">
      <c r="A40" s="416" t="s">
        <v>123</v>
      </c>
      <c r="B40" s="204" t="s">
        <v>211</v>
      </c>
      <c r="C40" s="217">
        <f>Second_Scenario_1!E65</f>
        <v>8.26</v>
      </c>
      <c r="D40" s="273">
        <f>E40/C40</f>
        <v>0.15007615012106548</v>
      </c>
      <c r="E40" s="241">
        <f>-Second_Scenario_1!I65</f>
        <v>1.2396290000000008</v>
      </c>
    </row>
    <row r="41" spans="1:5" s="214" customFormat="1" ht="13.5" thickBot="1" x14ac:dyDescent="0.25">
      <c r="A41" s="417"/>
      <c r="B41" s="229" t="s">
        <v>212</v>
      </c>
      <c r="C41" s="223">
        <v>2.2799999999999998</v>
      </c>
      <c r="D41" s="274">
        <f>D40</f>
        <v>0.15007615012106548</v>
      </c>
      <c r="E41" s="218">
        <f>C41*D41</f>
        <v>0.34217362227602927</v>
      </c>
    </row>
    <row r="42" spans="1:5" s="214" customFormat="1" ht="14.25" thickTop="1" thickBot="1" x14ac:dyDescent="0.25">
      <c r="A42" s="418"/>
      <c r="B42" s="211" t="s">
        <v>213</v>
      </c>
      <c r="C42" s="221">
        <f>SUM(C40:C41)</f>
        <v>10.54</v>
      </c>
      <c r="D42" s="269">
        <f>E42/C42</f>
        <v>0.15007615012106548</v>
      </c>
      <c r="E42" s="240">
        <f>SUM(E40:E41)</f>
        <v>1.58180262227603</v>
      </c>
    </row>
    <row r="43" spans="1:5" s="214" customFormat="1" x14ac:dyDescent="0.2">
      <c r="A43" s="416" t="s">
        <v>134</v>
      </c>
      <c r="B43" s="204" t="s">
        <v>211</v>
      </c>
      <c r="C43" s="205">
        <f>Second_Scenario_1!E73</f>
        <v>2.1799999999999997</v>
      </c>
      <c r="D43" s="265">
        <f>E43/C43</f>
        <v>0</v>
      </c>
      <c r="E43" s="241">
        <f>-Second_Scenario_1!I73</f>
        <v>0</v>
      </c>
    </row>
    <row r="44" spans="1:5" s="214" customFormat="1" ht="13.5" thickBot="1" x14ac:dyDescent="0.25">
      <c r="A44" s="417"/>
      <c r="B44" s="229" t="s">
        <v>212</v>
      </c>
      <c r="C44" s="207">
        <v>3.24</v>
      </c>
      <c r="D44" s="271">
        <f>D43</f>
        <v>0</v>
      </c>
      <c r="E44" s="218">
        <f>C44*D44</f>
        <v>0</v>
      </c>
    </row>
    <row r="45" spans="1:5" s="214" customFormat="1" ht="14.25" thickTop="1" thickBot="1" x14ac:dyDescent="0.25">
      <c r="A45" s="418"/>
      <c r="B45" s="211" t="s">
        <v>213</v>
      </c>
      <c r="C45" s="221">
        <f>SUM(C43:C44)</f>
        <v>5.42</v>
      </c>
      <c r="D45" s="269">
        <f>E45/C45</f>
        <v>0</v>
      </c>
      <c r="E45" s="240">
        <f>SUM(E43:E44)</f>
        <v>0</v>
      </c>
    </row>
    <row r="46" spans="1:5" s="214" customFormat="1" x14ac:dyDescent="0.2">
      <c r="A46" s="416" t="s">
        <v>144</v>
      </c>
      <c r="B46" s="204" t="s">
        <v>211</v>
      </c>
      <c r="C46" s="205">
        <f>Second_Scenario_1!E81</f>
        <v>35.86</v>
      </c>
      <c r="D46" s="265">
        <f>E46/C46</f>
        <v>0.12238669827105413</v>
      </c>
      <c r="E46" s="241">
        <f>-Second_Scenario_1!I81</f>
        <v>4.3887870000000007</v>
      </c>
    </row>
    <row r="47" spans="1:5" s="214" customFormat="1" ht="13.5" thickBot="1" x14ac:dyDescent="0.25">
      <c r="A47" s="417"/>
      <c r="B47" s="242" t="s">
        <v>212</v>
      </c>
      <c r="C47" s="207">
        <v>4.4400000000000004</v>
      </c>
      <c r="D47" s="271">
        <f>D46</f>
        <v>0.12238669827105413</v>
      </c>
      <c r="E47" s="218">
        <f>C47*D47</f>
        <v>0.5433969403234804</v>
      </c>
    </row>
    <row r="48" spans="1:5" s="214" customFormat="1" ht="14.25" thickTop="1" thickBot="1" x14ac:dyDescent="0.25">
      <c r="A48" s="418"/>
      <c r="B48" s="243" t="s">
        <v>213</v>
      </c>
      <c r="C48" s="221">
        <f>SUM(C46:C47)</f>
        <v>40.299999999999997</v>
      </c>
      <c r="D48" s="269">
        <f>E48/C48</f>
        <v>0.12238669827105414</v>
      </c>
      <c r="E48" s="240">
        <f>SUM(E46:E47)</f>
        <v>4.9321839403234815</v>
      </c>
    </row>
    <row r="49" spans="1:10" s="214" customFormat="1" x14ac:dyDescent="0.2">
      <c r="A49" s="416" t="s">
        <v>152</v>
      </c>
      <c r="B49" s="204" t="s">
        <v>211</v>
      </c>
      <c r="C49" s="205">
        <f>Second_Scenario_1!E86</f>
        <v>1.8699999999999999</v>
      </c>
      <c r="D49" s="265">
        <f>E49/C49</f>
        <v>0.23876149732620316</v>
      </c>
      <c r="E49" s="239">
        <f>-Second_Scenario_1!I86</f>
        <v>0.44648399999999988</v>
      </c>
    </row>
    <row r="50" spans="1:10" s="214" customFormat="1" ht="13.5" thickBot="1" x14ac:dyDescent="0.25">
      <c r="A50" s="417"/>
      <c r="B50" s="229" t="s">
        <v>212</v>
      </c>
      <c r="C50" s="207">
        <v>2.8</v>
      </c>
      <c r="D50" s="271">
        <f>D49</f>
        <v>0.23876149732620316</v>
      </c>
      <c r="E50" s="218">
        <f>C50*D50</f>
        <v>0.66853219251336882</v>
      </c>
    </row>
    <row r="51" spans="1:10" s="214" customFormat="1" ht="14.25" thickTop="1" thickBot="1" x14ac:dyDescent="0.25">
      <c r="A51" s="418"/>
      <c r="B51" s="211" t="s">
        <v>213</v>
      </c>
      <c r="C51" s="221">
        <f>SUM(C49:C50)</f>
        <v>4.67</v>
      </c>
      <c r="D51" s="269">
        <f>E51/C51</f>
        <v>0.23876149732620314</v>
      </c>
      <c r="E51" s="240">
        <f>SUM(E49:E50)</f>
        <v>1.1150161925133686</v>
      </c>
    </row>
    <row r="52" spans="1:10" s="214" customFormat="1" x14ac:dyDescent="0.2">
      <c r="A52" s="416" t="s">
        <v>158</v>
      </c>
      <c r="B52" s="204" t="s">
        <v>211</v>
      </c>
      <c r="C52" s="205">
        <f>Second_Scenario_1!E88</f>
        <v>0.25</v>
      </c>
      <c r="D52" s="265">
        <f>E52/C52</f>
        <v>0</v>
      </c>
      <c r="E52" s="241">
        <f>-Second_Scenario_1!I88</f>
        <v>0</v>
      </c>
    </row>
    <row r="53" spans="1:10" s="214" customFormat="1" ht="15.75" customHeight="1" thickBot="1" x14ac:dyDescent="0.25">
      <c r="A53" s="417"/>
      <c r="B53" s="229" t="s">
        <v>212</v>
      </c>
      <c r="C53" s="207">
        <v>0.66</v>
      </c>
      <c r="D53" s="271">
        <f>D52</f>
        <v>0</v>
      </c>
      <c r="E53" s="218">
        <f>C53*D53</f>
        <v>0</v>
      </c>
    </row>
    <row r="54" spans="1:10" s="214" customFormat="1" ht="16.5" customHeight="1" thickTop="1" thickBot="1" x14ac:dyDescent="0.25">
      <c r="A54" s="418"/>
      <c r="B54" s="211" t="s">
        <v>213</v>
      </c>
      <c r="C54" s="221">
        <f>SUM(C52:C53)</f>
        <v>0.91</v>
      </c>
      <c r="D54" s="269">
        <f>E54/C54</f>
        <v>0</v>
      </c>
      <c r="E54" s="240">
        <f>SUM(E52:E53)</f>
        <v>0</v>
      </c>
    </row>
    <row r="55" spans="1:10" x14ac:dyDescent="0.2">
      <c r="A55" s="419" t="s">
        <v>215</v>
      </c>
      <c r="B55" s="224" t="s">
        <v>7</v>
      </c>
      <c r="C55" s="225">
        <f>SUMIF($B$4:$B$54,"Public Supply",C4:C54)</f>
        <v>287.88</v>
      </c>
      <c r="D55" s="275">
        <f t="shared" ref="D55:D57" si="0">E55/C55</f>
        <v>0.13515330693344449</v>
      </c>
      <c r="E55" s="222">
        <f>SUMIF($B$4:$B$54,"Public Supply",E4:E54)</f>
        <v>38.907933999999997</v>
      </c>
      <c r="J55" s="6" t="s">
        <v>39</v>
      </c>
    </row>
    <row r="56" spans="1:10" ht="12.75" customHeight="1" thickBot="1" x14ac:dyDescent="0.25">
      <c r="A56" s="420"/>
      <c r="B56" s="235" t="s">
        <v>10</v>
      </c>
      <c r="C56" s="245">
        <f>SUMIF($B$4:$B$54,"Domestic Self-supply and Small Public Supply Systems",C4:C54)</f>
        <v>46.419999999999995</v>
      </c>
      <c r="D56" s="276">
        <f>E56/C56</f>
        <v>0.12377161485209351</v>
      </c>
      <c r="E56" s="219">
        <f>SUMIF($B$4:$B$54,"Domestic Self-supply and Small Public Supply Systems",E4:E54)</f>
        <v>5.7454783614341798</v>
      </c>
    </row>
    <row r="57" spans="1:10" ht="15.75" customHeight="1" thickTop="1" thickBot="1" x14ac:dyDescent="0.25">
      <c r="A57" s="421"/>
      <c r="B57" s="211" t="s">
        <v>213</v>
      </c>
      <c r="C57" s="221">
        <f>SUM(C55:C56)</f>
        <v>334.3</v>
      </c>
      <c r="D57" s="269">
        <f t="shared" si="0"/>
        <v>0.13357287574464308</v>
      </c>
      <c r="E57" s="238">
        <f>SUM(E55:E56)</f>
        <v>44.653412361434178</v>
      </c>
      <c r="F57" s="226"/>
    </row>
    <row r="58" spans="1:10" x14ac:dyDescent="0.2">
      <c r="A58" s="148" t="s">
        <v>20</v>
      </c>
    </row>
    <row r="59" spans="1:10" x14ac:dyDescent="0.2">
      <c r="A59" s="6" t="s">
        <v>216</v>
      </c>
    </row>
    <row r="60" spans="1:10" x14ac:dyDescent="0.2">
      <c r="A60" s="6" t="s">
        <v>217</v>
      </c>
    </row>
    <row r="62" spans="1:10" ht="13.5" thickBot="1" x14ac:dyDescent="0.25">
      <c r="A62" s="203" t="s">
        <v>218</v>
      </c>
    </row>
    <row r="63" spans="1:10" ht="33" customHeight="1" thickBot="1" x14ac:dyDescent="0.25">
      <c r="A63" s="431" t="s">
        <v>29</v>
      </c>
      <c r="B63" s="433" t="s">
        <v>1</v>
      </c>
      <c r="C63" s="377" t="s">
        <v>3</v>
      </c>
      <c r="D63" s="426" t="s">
        <v>210</v>
      </c>
      <c r="E63" s="427"/>
    </row>
    <row r="64" spans="1:10" ht="44.25" customHeight="1" thickBot="1" x14ac:dyDescent="0.25">
      <c r="A64" s="432"/>
      <c r="B64" s="434"/>
      <c r="C64" s="379"/>
      <c r="D64" s="323" t="s">
        <v>5</v>
      </c>
      <c r="E64" s="277" t="s">
        <v>6</v>
      </c>
    </row>
    <row r="65" spans="1:6" ht="13.5" thickTop="1" x14ac:dyDescent="0.2">
      <c r="A65" s="422" t="s">
        <v>170</v>
      </c>
      <c r="B65" s="227" t="s">
        <v>211</v>
      </c>
      <c r="C65" s="254">
        <f>Second_Scenario_1!E104</f>
        <v>0.87000000000000011</v>
      </c>
      <c r="D65" s="265">
        <f>E65/C65</f>
        <v>0.45280000000000015</v>
      </c>
      <c r="E65" s="228">
        <f>-Second_Scenario_1!I104</f>
        <v>0.39393600000000017</v>
      </c>
    </row>
    <row r="66" spans="1:6" ht="13.5" thickBot="1" x14ac:dyDescent="0.25">
      <c r="A66" s="423"/>
      <c r="B66" s="229" t="s">
        <v>212</v>
      </c>
      <c r="C66" s="255">
        <v>1.19</v>
      </c>
      <c r="D66" s="266">
        <f>D65</f>
        <v>0.45280000000000015</v>
      </c>
      <c r="E66" s="210">
        <f>C66*D66</f>
        <v>0.5388320000000002</v>
      </c>
    </row>
    <row r="67" spans="1:6" ht="14.25" thickTop="1" thickBot="1" x14ac:dyDescent="0.25">
      <c r="A67" s="424"/>
      <c r="B67" s="230" t="s">
        <v>213</v>
      </c>
      <c r="C67" s="256">
        <f>SUM(C65:C66)</f>
        <v>2.06</v>
      </c>
      <c r="D67" s="267">
        <f>E67/C67</f>
        <v>0.45280000000000015</v>
      </c>
      <c r="E67" s="238">
        <f>SUM(E65:E66)</f>
        <v>0.93276800000000037</v>
      </c>
    </row>
    <row r="68" spans="1:6" x14ac:dyDescent="0.2">
      <c r="A68" s="425" t="s">
        <v>176</v>
      </c>
      <c r="B68" s="231" t="s">
        <v>211</v>
      </c>
      <c r="C68" s="257">
        <f>Second_Scenario_1!E106</f>
        <v>0</v>
      </c>
      <c r="D68" s="317" t="s">
        <v>12</v>
      </c>
      <c r="E68" s="318" t="s">
        <v>12</v>
      </c>
    </row>
    <row r="69" spans="1:6" ht="15" customHeight="1" thickBot="1" x14ac:dyDescent="0.25">
      <c r="A69" s="423"/>
      <c r="B69" s="229" t="s">
        <v>212</v>
      </c>
      <c r="C69" s="258">
        <v>0.26</v>
      </c>
      <c r="D69" s="319" t="str">
        <f>D68</f>
        <v>N/A</v>
      </c>
      <c r="E69" s="320" t="s">
        <v>12</v>
      </c>
    </row>
    <row r="70" spans="1:6" ht="15.75" customHeight="1" thickTop="1" thickBot="1" x14ac:dyDescent="0.25">
      <c r="A70" s="424"/>
      <c r="B70" s="230" t="s">
        <v>213</v>
      </c>
      <c r="C70" s="259">
        <f>SUM(C68:C69)</f>
        <v>0.26</v>
      </c>
      <c r="D70" s="267">
        <f>E70/C70</f>
        <v>0</v>
      </c>
      <c r="E70" s="213">
        <f>SUM(E68:E69)</f>
        <v>0</v>
      </c>
      <c r="F70" s="128"/>
    </row>
    <row r="71" spans="1:6" x14ac:dyDescent="0.2">
      <c r="A71" s="425" t="s">
        <v>179</v>
      </c>
      <c r="B71" s="231" t="s">
        <v>211</v>
      </c>
      <c r="C71" s="257">
        <f>Second_Scenario_1!E108</f>
        <v>0.16</v>
      </c>
      <c r="D71" s="253">
        <f>E71/C71</f>
        <v>0</v>
      </c>
      <c r="E71" s="232">
        <f>-Second_Scenario_1!I108</f>
        <v>0</v>
      </c>
    </row>
    <row r="72" spans="1:6" ht="15.75" customHeight="1" thickBot="1" x14ac:dyDescent="0.25">
      <c r="A72" s="423"/>
      <c r="B72" s="229" t="s">
        <v>212</v>
      </c>
      <c r="C72" s="260">
        <v>0.74</v>
      </c>
      <c r="D72" s="248">
        <f>D71</f>
        <v>0</v>
      </c>
      <c r="E72" s="210">
        <f>C72*D72</f>
        <v>0</v>
      </c>
    </row>
    <row r="73" spans="1:6" ht="16.5" customHeight="1" thickTop="1" thickBot="1" x14ac:dyDescent="0.25">
      <c r="A73" s="424"/>
      <c r="B73" s="230" t="s">
        <v>213</v>
      </c>
      <c r="C73" s="256">
        <f>SUM(C71:C72)</f>
        <v>0.9</v>
      </c>
      <c r="D73" s="267">
        <f>E73/C73</f>
        <v>0</v>
      </c>
      <c r="E73" s="213">
        <f>SUM(E71:E72)</f>
        <v>0</v>
      </c>
      <c r="F73" s="128"/>
    </row>
    <row r="74" spans="1:6" x14ac:dyDescent="0.2">
      <c r="A74" s="425" t="s">
        <v>182</v>
      </c>
      <c r="B74" s="231" t="s">
        <v>211</v>
      </c>
      <c r="C74" s="261">
        <f>Second_Scenario_1!E113</f>
        <v>0.66</v>
      </c>
      <c r="D74" s="253">
        <f>E74/C74</f>
        <v>0</v>
      </c>
      <c r="E74" s="232">
        <f>-Second_Scenario_1!I113</f>
        <v>0</v>
      </c>
    </row>
    <row r="75" spans="1:6" ht="13.5" thickBot="1" x14ac:dyDescent="0.25">
      <c r="A75" s="423"/>
      <c r="B75" s="247" t="s">
        <v>212</v>
      </c>
      <c r="C75" s="258">
        <v>0.98</v>
      </c>
      <c r="D75" s="248">
        <f>D74</f>
        <v>0</v>
      </c>
      <c r="E75" s="210">
        <f>C75*D75</f>
        <v>0</v>
      </c>
    </row>
    <row r="76" spans="1:6" ht="14.25" thickTop="1" thickBot="1" x14ac:dyDescent="0.25">
      <c r="A76" s="424"/>
      <c r="B76" s="243" t="s">
        <v>213</v>
      </c>
      <c r="C76" s="262">
        <f>SUM(C74:C75)</f>
        <v>1.6400000000000001</v>
      </c>
      <c r="D76" s="267">
        <f>E76/C76</f>
        <v>0</v>
      </c>
      <c r="E76" s="238">
        <f>SUM(E74:E75)</f>
        <v>0</v>
      </c>
    </row>
    <row r="77" spans="1:6" x14ac:dyDescent="0.2">
      <c r="A77" s="425" t="s">
        <v>192</v>
      </c>
      <c r="B77" s="231" t="s">
        <v>211</v>
      </c>
      <c r="C77" s="257">
        <f>Second_Scenario_1!E118</f>
        <v>1.3300000000000003</v>
      </c>
      <c r="D77" s="246">
        <f>E77/C77</f>
        <v>0.28495939849624069</v>
      </c>
      <c r="E77" s="232">
        <f>-Second_Scenario_1!I118</f>
        <v>0.37899600000000022</v>
      </c>
    </row>
    <row r="78" spans="1:6" ht="15.75" customHeight="1" thickBot="1" x14ac:dyDescent="0.25">
      <c r="A78" s="423"/>
      <c r="B78" s="247" t="s">
        <v>212</v>
      </c>
      <c r="C78" s="260">
        <v>0.73</v>
      </c>
      <c r="D78" s="248">
        <f>D77</f>
        <v>0.28495939849624069</v>
      </c>
      <c r="E78" s="210">
        <f>C78*D78</f>
        <v>0.2080203609022557</v>
      </c>
    </row>
    <row r="79" spans="1:6" ht="16.5" customHeight="1" thickTop="1" thickBot="1" x14ac:dyDescent="0.25">
      <c r="A79" s="424"/>
      <c r="B79" s="243" t="s">
        <v>213</v>
      </c>
      <c r="C79" s="256">
        <f>SUM(C77:C78)</f>
        <v>2.0600000000000005</v>
      </c>
      <c r="D79" s="267">
        <f>E79/C79</f>
        <v>0.28495939849624069</v>
      </c>
      <c r="E79" s="213">
        <f>SUM(E77:E78)</f>
        <v>0.58701636090225595</v>
      </c>
      <c r="F79" s="128"/>
    </row>
    <row r="80" spans="1:6" x14ac:dyDescent="0.2">
      <c r="A80" s="425" t="s">
        <v>202</v>
      </c>
      <c r="B80" s="231" t="s">
        <v>211</v>
      </c>
      <c r="C80" s="257">
        <f>Second_Scenario_1!E122</f>
        <v>2.06</v>
      </c>
      <c r="D80" s="253">
        <f>E80/C80</f>
        <v>0.13888058252427188</v>
      </c>
      <c r="E80" s="232">
        <f>-Second_Scenario_1!I122</f>
        <v>0.28609400000000007</v>
      </c>
    </row>
    <row r="81" spans="1:5" ht="13.5" thickBot="1" x14ac:dyDescent="0.25">
      <c r="A81" s="423"/>
      <c r="B81" s="247" t="s">
        <v>212</v>
      </c>
      <c r="C81" s="260">
        <v>0.59</v>
      </c>
      <c r="D81" s="248">
        <f>D80</f>
        <v>0.13888058252427188</v>
      </c>
      <c r="E81" s="210">
        <f>C81*D81</f>
        <v>8.193954368932041E-2</v>
      </c>
    </row>
    <row r="82" spans="1:5" ht="14.25" thickTop="1" thickBot="1" x14ac:dyDescent="0.25">
      <c r="A82" s="424"/>
      <c r="B82" s="243" t="s">
        <v>213</v>
      </c>
      <c r="C82" s="256">
        <f>SUM(C80:C81)</f>
        <v>2.65</v>
      </c>
      <c r="D82" s="267">
        <f>E82/C82</f>
        <v>0.13888058252427191</v>
      </c>
      <c r="E82" s="238">
        <f>SUM(E80:E81)</f>
        <v>0.36803354368932051</v>
      </c>
    </row>
    <row r="83" spans="1:5" ht="12.75" customHeight="1" x14ac:dyDescent="0.2">
      <c r="A83" s="428" t="s">
        <v>219</v>
      </c>
      <c r="B83" s="233" t="s">
        <v>7</v>
      </c>
      <c r="C83" s="263">
        <f>SUMIF($B$65:$B$82,"Public Supply",C65:C82)</f>
        <v>5.08</v>
      </c>
      <c r="D83" s="234">
        <f t="shared" ref="D83:D84" si="1">E83/C83</f>
        <v>0.20846968503937016</v>
      </c>
      <c r="E83" s="222">
        <f>SUMIF($B$65:$B$82,"Public Supply",E65:E82)</f>
        <v>1.0590260000000005</v>
      </c>
    </row>
    <row r="84" spans="1:5" ht="27" customHeight="1" thickBot="1" x14ac:dyDescent="0.25">
      <c r="A84" s="429"/>
      <c r="B84" s="249" t="s">
        <v>10</v>
      </c>
      <c r="C84" s="264">
        <f>SUMIF($B$65:$B$82,"Domestic Self-supply and Small Public Supply Systems",C65:C82)</f>
        <v>4.49</v>
      </c>
      <c r="D84" s="236">
        <f t="shared" si="1"/>
        <v>0.1845861702876562</v>
      </c>
      <c r="E84" s="250">
        <f>SUMIF($B$65:$B$82,"Domestic Self-supply and Small Public Supply Systems",E65:E82)</f>
        <v>0.82879190459157637</v>
      </c>
    </row>
    <row r="85" spans="1:5" ht="16.5" customHeight="1" thickTop="1" thickBot="1" x14ac:dyDescent="0.25">
      <c r="A85" s="430"/>
      <c r="B85" s="243" t="s">
        <v>213</v>
      </c>
      <c r="C85" s="256">
        <f>SUM(C83:C84)</f>
        <v>9.57</v>
      </c>
      <c r="D85" s="267">
        <f>E85/C85</f>
        <v>0.19726414886014387</v>
      </c>
      <c r="E85" s="238">
        <f>SUM(E83:E84)</f>
        <v>1.8878179045915768</v>
      </c>
    </row>
    <row r="86" spans="1:5" x14ac:dyDescent="0.2">
      <c r="A86" s="237" t="s">
        <v>20</v>
      </c>
    </row>
    <row r="87" spans="1:5" x14ac:dyDescent="0.2">
      <c r="A87" s="6" t="s">
        <v>216</v>
      </c>
    </row>
    <row r="88" spans="1:5" x14ac:dyDescent="0.2">
      <c r="A88" s="6" t="s">
        <v>220</v>
      </c>
    </row>
  </sheetData>
  <mergeCells count="33">
    <mergeCell ref="D2:E2"/>
    <mergeCell ref="A37:A39"/>
    <mergeCell ref="A40:A42"/>
    <mergeCell ref="A2:A3"/>
    <mergeCell ref="B2:B3"/>
    <mergeCell ref="C2:C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83:A85"/>
    <mergeCell ref="A80:A82"/>
    <mergeCell ref="A63:A64"/>
    <mergeCell ref="B63:B64"/>
    <mergeCell ref="C63:C64"/>
    <mergeCell ref="D63:E63"/>
    <mergeCell ref="A77:A79"/>
    <mergeCell ref="A43:A45"/>
    <mergeCell ref="A46:A48"/>
    <mergeCell ref="A49:A51"/>
    <mergeCell ref="A52:A54"/>
    <mergeCell ref="A74:A76"/>
    <mergeCell ref="A34:A36"/>
    <mergeCell ref="A55:A57"/>
    <mergeCell ref="A65:A67"/>
    <mergeCell ref="A68:A70"/>
    <mergeCell ref="A71:A73"/>
  </mergeCells>
  <pageMargins left="0.7" right="0.7" top="0.75" bottom="0.75" header="0.3" footer="0.3"/>
  <pageSetup paperSize="3" fitToHeight="0" orientation="landscape" r:id="rId1"/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aa356f-be21-4b9b-aa5f-a6e34ce08549">
      <Terms xmlns="http://schemas.microsoft.com/office/infopath/2007/PartnerControls"/>
    </lcf76f155ced4ddcb4097134ff3c332f>
    <TaxCatchAll xmlns="17f6a3d9-f8ee-4e56-91c8-a9a8b8cf43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D4E5696D99DC4E9AFA5918DF7462FE" ma:contentTypeVersion="19" ma:contentTypeDescription="Create a new document." ma:contentTypeScope="" ma:versionID="4c4d6e5adc3bdbcd5bb380d087c7beef">
  <xsd:schema xmlns:xsd="http://www.w3.org/2001/XMLSchema" xmlns:xs="http://www.w3.org/2001/XMLSchema" xmlns:p="http://schemas.microsoft.com/office/2006/metadata/properties" xmlns:ns2="17f6a3d9-f8ee-4e56-91c8-a9a8b8cf4352" xmlns:ns3="1aaa356f-be21-4b9b-aa5f-a6e34ce08549" targetNamespace="http://schemas.microsoft.com/office/2006/metadata/properties" ma:root="true" ma:fieldsID="ff8e1ea5a54068d653946f2b757cfc0d" ns2:_="" ns3:_="">
    <xsd:import namespace="17f6a3d9-f8ee-4e56-91c8-a9a8b8cf4352"/>
    <xsd:import namespace="1aaa356f-be21-4b9b-aa5f-a6e34ce085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f6a3d9-f8ee-4e56-91c8-a9a8b8cf43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324d95-d459-480a-8cd2-d41f24e51c09}" ma:internalName="TaxCatchAll" ma:showField="CatchAllData" ma:web="17f6a3d9-f8ee-4e56-91c8-a9a8b8cf43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a356f-be21-4b9b-aa5f-a6e34ce085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d1ffa3-0beb-44f8-9cde-64899759d3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4AC285-1E22-4245-87FC-1BADA82AFCB8}">
  <ds:schemaRefs>
    <ds:schemaRef ds:uri="http://schemas.microsoft.com/office/2006/metadata/properties"/>
    <ds:schemaRef ds:uri="1aaa356f-be21-4b9b-aa5f-a6e34ce0854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17f6a3d9-f8ee-4e56-91c8-a9a8b8cf435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92D61A-54CF-4709-A771-3277F1018C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9DB585-8860-43D2-B00A-65C2934C7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First_Scenario</vt:lpstr>
      <vt:lpstr>Second_Scenario_1</vt:lpstr>
      <vt:lpstr>Second_Scenario_2</vt:lpstr>
    </vt:vector>
  </TitlesOfParts>
  <Manager/>
  <Company>SJRWMD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May</dc:creator>
  <cp:keywords/>
  <dc:description/>
  <cp:lastModifiedBy>Lori Burklew</cp:lastModifiedBy>
  <cp:revision/>
  <dcterms:created xsi:type="dcterms:W3CDTF">2021-10-04T19:55:15Z</dcterms:created>
  <dcterms:modified xsi:type="dcterms:W3CDTF">2022-06-06T13:09:00Z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0x010100FCD4E5696D99DC4E9AFA5918DF7462FE</vt:lpwstr>
  </property>
</Properties>
</file>